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19200" windowHeight="11460" tabRatio="863" activeTab="1"/>
  </bookViews>
  <sheets>
    <sheet name="свод (2)" sheetId="50" r:id="rId1"/>
    <sheet name="1-2-3" sheetId="46" r:id="rId2"/>
    <sheet name="4-5-6" sheetId="47" r:id="rId3"/>
    <sheet name="7-8-9" sheetId="48" r:id="rId4"/>
    <sheet name="10-11-12" sheetId="49" r:id="rId5"/>
    <sheet name="000" sheetId="29" r:id="rId6"/>
  </sheets>
  <calcPr calcId="162913"/>
</workbook>
</file>

<file path=xl/calcChain.xml><?xml version="1.0" encoding="utf-8"?>
<calcChain xmlns="http://schemas.openxmlformats.org/spreadsheetml/2006/main">
  <c r="L39" i="49" l="1"/>
  <c r="K39" i="49"/>
  <c r="J39" i="49"/>
  <c r="I39" i="49"/>
  <c r="H39" i="49"/>
  <c r="N39" i="49" s="1"/>
  <c r="G39" i="49"/>
  <c r="M39" i="49" s="1"/>
  <c r="L46" i="49"/>
  <c r="K46" i="49"/>
  <c r="J46" i="49"/>
  <c r="I46" i="49"/>
  <c r="H46" i="49"/>
  <c r="N46" i="49" s="1"/>
  <c r="G46" i="49"/>
  <c r="M46" i="49" s="1"/>
  <c r="L31" i="49"/>
  <c r="K31" i="49"/>
  <c r="J31" i="49"/>
  <c r="I31" i="49"/>
  <c r="H31" i="49"/>
  <c r="N31" i="49" s="1"/>
  <c r="G31" i="49"/>
  <c r="M31" i="49" s="1"/>
  <c r="L23" i="49"/>
  <c r="K23" i="49"/>
  <c r="J23" i="49"/>
  <c r="I23" i="49"/>
  <c r="H23" i="49"/>
  <c r="N23" i="49" s="1"/>
  <c r="G23" i="49"/>
  <c r="M23" i="49" s="1"/>
  <c r="L30" i="48"/>
  <c r="K30" i="48"/>
  <c r="J30" i="48"/>
  <c r="I30" i="48"/>
  <c r="H30" i="48"/>
  <c r="N30" i="48" s="1"/>
  <c r="G30" i="48"/>
  <c r="M30" i="48" s="1"/>
  <c r="L23" i="48"/>
  <c r="K23" i="48"/>
  <c r="J23" i="48"/>
  <c r="I23" i="48"/>
  <c r="H23" i="48"/>
  <c r="N23" i="48" s="1"/>
  <c r="G23" i="48"/>
  <c r="M23" i="48" s="1"/>
  <c r="L32" i="47"/>
  <c r="K32" i="47"/>
  <c r="J32" i="47"/>
  <c r="I32" i="47"/>
  <c r="H32" i="47"/>
  <c r="N32" i="47" s="1"/>
  <c r="G32" i="47"/>
  <c r="M32" i="47" s="1"/>
  <c r="L31" i="47"/>
  <c r="K31" i="47"/>
  <c r="J31" i="47"/>
  <c r="I31" i="47"/>
  <c r="H31" i="47"/>
  <c r="N31" i="47" s="1"/>
  <c r="G31" i="47"/>
  <c r="M31" i="47" s="1"/>
  <c r="L24" i="47"/>
  <c r="K24" i="47"/>
  <c r="J24" i="47"/>
  <c r="I24" i="47"/>
  <c r="H24" i="47"/>
  <c r="N24" i="47" s="1"/>
  <c r="G24" i="47"/>
  <c r="M24" i="47" s="1"/>
  <c r="L23" i="47"/>
  <c r="K23" i="47"/>
  <c r="J23" i="47"/>
  <c r="I23" i="47"/>
  <c r="H23" i="47"/>
  <c r="N23" i="47" s="1"/>
  <c r="G23" i="47"/>
  <c r="M23" i="47" s="1"/>
  <c r="L8" i="47"/>
  <c r="K8" i="47"/>
  <c r="J8" i="47"/>
  <c r="I8" i="47"/>
  <c r="H8" i="47"/>
  <c r="N8" i="47" s="1"/>
  <c r="G8" i="47"/>
  <c r="M8" i="47" s="1"/>
  <c r="L17" i="47"/>
  <c r="K17" i="47"/>
  <c r="J17" i="47"/>
  <c r="I17" i="47"/>
  <c r="H17" i="47"/>
  <c r="N17" i="47" s="1"/>
  <c r="G17" i="47"/>
  <c r="M17" i="47" s="1"/>
  <c r="L47" i="46" l="1"/>
  <c r="K47" i="46"/>
  <c r="J47" i="46"/>
  <c r="I47" i="46"/>
  <c r="H47" i="46"/>
  <c r="N47" i="46" s="1"/>
  <c r="G47" i="46"/>
  <c r="M47" i="46" s="1"/>
  <c r="P24" i="50" l="1"/>
  <c r="L42" i="49" l="1"/>
  <c r="K42" i="49"/>
  <c r="J42" i="49"/>
  <c r="I42" i="49"/>
  <c r="H42" i="49"/>
  <c r="N42" i="49" s="1"/>
  <c r="G42" i="49"/>
  <c r="L41" i="49"/>
  <c r="K41" i="49"/>
  <c r="J41" i="49"/>
  <c r="I41" i="49"/>
  <c r="H41" i="49"/>
  <c r="G41" i="49"/>
  <c r="M41" i="49" s="1"/>
  <c r="L40" i="49"/>
  <c r="K40" i="49"/>
  <c r="J40" i="49"/>
  <c r="I40" i="49"/>
  <c r="H40" i="49"/>
  <c r="G40" i="49"/>
  <c r="K43" i="49"/>
  <c r="G43" i="49"/>
  <c r="L49" i="49"/>
  <c r="K49" i="49"/>
  <c r="J49" i="49"/>
  <c r="I49" i="49"/>
  <c r="H49" i="49"/>
  <c r="N49" i="49" s="1"/>
  <c r="G49" i="49"/>
  <c r="M49" i="49" s="1"/>
  <c r="L48" i="49"/>
  <c r="K48" i="49"/>
  <c r="J48" i="49"/>
  <c r="I48" i="49"/>
  <c r="H48" i="49"/>
  <c r="G48" i="49"/>
  <c r="L47" i="49"/>
  <c r="K47" i="49"/>
  <c r="J47" i="49"/>
  <c r="I47" i="49"/>
  <c r="H47" i="49"/>
  <c r="N47" i="49" s="1"/>
  <c r="G47" i="49"/>
  <c r="M47" i="49" s="1"/>
  <c r="L45" i="49"/>
  <c r="K45" i="49"/>
  <c r="J45" i="49"/>
  <c r="I45" i="49"/>
  <c r="I50" i="49" s="1"/>
  <c r="H45" i="49"/>
  <c r="G45" i="49"/>
  <c r="L26" i="49"/>
  <c r="K26" i="49"/>
  <c r="J26" i="49"/>
  <c r="I26" i="49"/>
  <c r="H26" i="49"/>
  <c r="G26" i="49"/>
  <c r="L25" i="49"/>
  <c r="K25" i="49"/>
  <c r="J25" i="49"/>
  <c r="I25" i="49"/>
  <c r="H25" i="49"/>
  <c r="N25" i="49" s="1"/>
  <c r="G25" i="49"/>
  <c r="L24" i="49"/>
  <c r="K24" i="49"/>
  <c r="J24" i="49"/>
  <c r="I24" i="49"/>
  <c r="H24" i="49"/>
  <c r="G24" i="49"/>
  <c r="M24" i="49" s="1"/>
  <c r="L22" i="49"/>
  <c r="K22" i="49"/>
  <c r="J22" i="49"/>
  <c r="I22" i="49"/>
  <c r="H22" i="49"/>
  <c r="G22" i="49"/>
  <c r="M22" i="49" s="1"/>
  <c r="L37" i="49"/>
  <c r="K37" i="49"/>
  <c r="J37" i="49"/>
  <c r="I37" i="49"/>
  <c r="H37" i="49"/>
  <c r="N37" i="49" s="1"/>
  <c r="G37" i="49"/>
  <c r="F35" i="49"/>
  <c r="E35" i="49"/>
  <c r="L34" i="49"/>
  <c r="K34" i="49"/>
  <c r="J34" i="49"/>
  <c r="I34" i="49"/>
  <c r="H34" i="49"/>
  <c r="N34" i="49" s="1"/>
  <c r="G34" i="49"/>
  <c r="L33" i="49"/>
  <c r="K33" i="49"/>
  <c r="J33" i="49"/>
  <c r="I33" i="49"/>
  <c r="H33" i="49"/>
  <c r="G33" i="49"/>
  <c r="M33" i="49" s="1"/>
  <c r="L32" i="49"/>
  <c r="K32" i="49"/>
  <c r="J32" i="49"/>
  <c r="I32" i="49"/>
  <c r="H32" i="49"/>
  <c r="N32" i="49" s="1"/>
  <c r="G32" i="49"/>
  <c r="L30" i="49"/>
  <c r="K30" i="49"/>
  <c r="J30" i="49"/>
  <c r="I30" i="49"/>
  <c r="H30" i="49"/>
  <c r="N30" i="49" s="1"/>
  <c r="G30" i="49"/>
  <c r="L29" i="49"/>
  <c r="K29" i="49"/>
  <c r="J29" i="49"/>
  <c r="I29" i="49"/>
  <c r="H29" i="49"/>
  <c r="G29" i="49"/>
  <c r="M29" i="49" s="1"/>
  <c r="L35" i="49"/>
  <c r="I35" i="49"/>
  <c r="H35" i="49"/>
  <c r="L11" i="49"/>
  <c r="K11" i="49"/>
  <c r="J11" i="49"/>
  <c r="I11" i="49"/>
  <c r="H11" i="49"/>
  <c r="G11" i="49"/>
  <c r="M11" i="49" s="1"/>
  <c r="L10" i="49"/>
  <c r="K10" i="49"/>
  <c r="J10" i="49"/>
  <c r="I10" i="49"/>
  <c r="H10" i="49"/>
  <c r="N10" i="49" s="1"/>
  <c r="G10" i="49"/>
  <c r="L9" i="49"/>
  <c r="K9" i="49"/>
  <c r="J9" i="49"/>
  <c r="I9" i="49"/>
  <c r="H9" i="49"/>
  <c r="G9" i="49"/>
  <c r="M9" i="49" s="1"/>
  <c r="L8" i="49"/>
  <c r="K8" i="49"/>
  <c r="J8" i="49"/>
  <c r="I8" i="49"/>
  <c r="H8" i="49"/>
  <c r="N8" i="49" s="1"/>
  <c r="G8" i="49"/>
  <c r="L7" i="49"/>
  <c r="K7" i="49"/>
  <c r="K12" i="49" s="1"/>
  <c r="J7" i="49"/>
  <c r="I7" i="49"/>
  <c r="H7" i="49"/>
  <c r="G7" i="49"/>
  <c r="M7" i="49" s="1"/>
  <c r="L19" i="49"/>
  <c r="K19" i="49"/>
  <c r="J19" i="49"/>
  <c r="I19" i="49"/>
  <c r="H19" i="49"/>
  <c r="G19" i="49"/>
  <c r="L18" i="49"/>
  <c r="K18" i="49"/>
  <c r="J18" i="49"/>
  <c r="I18" i="49"/>
  <c r="H18" i="49"/>
  <c r="G18" i="49"/>
  <c r="M18" i="49" s="1"/>
  <c r="L17" i="49"/>
  <c r="K17" i="49"/>
  <c r="J17" i="49"/>
  <c r="I17" i="49"/>
  <c r="H17" i="49"/>
  <c r="G17" i="49"/>
  <c r="L16" i="49"/>
  <c r="K16" i="49"/>
  <c r="J16" i="49"/>
  <c r="I16" i="49"/>
  <c r="H16" i="49"/>
  <c r="G16" i="49"/>
  <c r="M16" i="49" s="1"/>
  <c r="L15" i="49"/>
  <c r="K15" i="49"/>
  <c r="J15" i="49"/>
  <c r="I15" i="49"/>
  <c r="H15" i="49"/>
  <c r="G15" i="49"/>
  <c r="L14" i="49"/>
  <c r="K14" i="49"/>
  <c r="J14" i="49"/>
  <c r="I14" i="49"/>
  <c r="H14" i="49"/>
  <c r="G14" i="49"/>
  <c r="M14" i="49" s="1"/>
  <c r="F50" i="49"/>
  <c r="E50" i="49"/>
  <c r="L50" i="49"/>
  <c r="J50" i="49"/>
  <c r="H50" i="49"/>
  <c r="F43" i="49"/>
  <c r="E43" i="49"/>
  <c r="L43" i="49"/>
  <c r="H43" i="49"/>
  <c r="F27" i="49"/>
  <c r="E27" i="49"/>
  <c r="L27" i="49"/>
  <c r="I27" i="49"/>
  <c r="H27" i="49"/>
  <c r="F20" i="49"/>
  <c r="E20" i="49"/>
  <c r="F12" i="49"/>
  <c r="E12" i="49"/>
  <c r="L12" i="49"/>
  <c r="H12" i="49"/>
  <c r="L37" i="48"/>
  <c r="K37" i="48"/>
  <c r="J37" i="48"/>
  <c r="I37" i="48"/>
  <c r="H37" i="48"/>
  <c r="N37" i="48" s="1"/>
  <c r="G37" i="48"/>
  <c r="M37" i="48" s="1"/>
  <c r="L36" i="48"/>
  <c r="K36" i="48"/>
  <c r="J36" i="48"/>
  <c r="I36" i="48"/>
  <c r="H36" i="48"/>
  <c r="N36" i="48" s="1"/>
  <c r="G36" i="48"/>
  <c r="M36" i="48" s="1"/>
  <c r="L52" i="48"/>
  <c r="K52" i="48"/>
  <c r="J52" i="48"/>
  <c r="I52" i="48"/>
  <c r="H52" i="48"/>
  <c r="G52" i="48"/>
  <c r="F50" i="48"/>
  <c r="E50" i="48"/>
  <c r="L49" i="48"/>
  <c r="K49" i="48"/>
  <c r="J49" i="48"/>
  <c r="I49" i="48"/>
  <c r="H49" i="48"/>
  <c r="G49" i="48"/>
  <c r="L48" i="48"/>
  <c r="K48" i="48"/>
  <c r="J48" i="48"/>
  <c r="I48" i="48"/>
  <c r="H48" i="48"/>
  <c r="N48" i="48" s="1"/>
  <c r="G48" i="48"/>
  <c r="L47" i="48"/>
  <c r="K47" i="48"/>
  <c r="J47" i="48"/>
  <c r="I47" i="48"/>
  <c r="H47" i="48"/>
  <c r="G47" i="48"/>
  <c r="L46" i="48"/>
  <c r="K46" i="48"/>
  <c r="J46" i="48"/>
  <c r="I46" i="48"/>
  <c r="H46" i="48"/>
  <c r="N46" i="48" s="1"/>
  <c r="G46" i="48"/>
  <c r="L45" i="48"/>
  <c r="K45" i="48"/>
  <c r="J45" i="48"/>
  <c r="I45" i="48"/>
  <c r="H45" i="48"/>
  <c r="G45" i="48"/>
  <c r="L44" i="48"/>
  <c r="K44" i="48"/>
  <c r="J44" i="48"/>
  <c r="I44" i="48"/>
  <c r="H44" i="48"/>
  <c r="N44" i="48" s="1"/>
  <c r="G44" i="48"/>
  <c r="M44" i="48" s="1"/>
  <c r="J50" i="48"/>
  <c r="I50" i="48"/>
  <c r="L26" i="48"/>
  <c r="K26" i="48"/>
  <c r="J26" i="48"/>
  <c r="I26" i="48"/>
  <c r="H26" i="48"/>
  <c r="G26" i="48"/>
  <c r="L25" i="48"/>
  <c r="K25" i="48"/>
  <c r="J25" i="48"/>
  <c r="I25" i="48"/>
  <c r="H25" i="48"/>
  <c r="G25" i="48"/>
  <c r="L24" i="48"/>
  <c r="K24" i="48"/>
  <c r="J24" i="48"/>
  <c r="I24" i="48"/>
  <c r="H24" i="48"/>
  <c r="G24" i="48"/>
  <c r="L33" i="48"/>
  <c r="K33" i="48"/>
  <c r="J33" i="48"/>
  <c r="I33" i="48"/>
  <c r="H33" i="48"/>
  <c r="G33" i="48"/>
  <c r="L32" i="48"/>
  <c r="K32" i="48"/>
  <c r="J32" i="48"/>
  <c r="I32" i="48"/>
  <c r="H32" i="48"/>
  <c r="G32" i="48"/>
  <c r="L31" i="48"/>
  <c r="K31" i="48"/>
  <c r="J31" i="48"/>
  <c r="I31" i="48"/>
  <c r="H31" i="48"/>
  <c r="G31" i="48"/>
  <c r="L29" i="48"/>
  <c r="K29" i="48"/>
  <c r="J29" i="48"/>
  <c r="I29" i="48"/>
  <c r="H29" i="48"/>
  <c r="G29" i="48"/>
  <c r="L10" i="48"/>
  <c r="K10" i="48"/>
  <c r="J10" i="48"/>
  <c r="I10" i="48"/>
  <c r="H10" i="48"/>
  <c r="G10" i="48"/>
  <c r="L9" i="48"/>
  <c r="K9" i="48"/>
  <c r="J9" i="48"/>
  <c r="I9" i="48"/>
  <c r="H9" i="48"/>
  <c r="G9" i="48"/>
  <c r="L8" i="48"/>
  <c r="K8" i="48"/>
  <c r="J8" i="48"/>
  <c r="I8" i="48"/>
  <c r="H8" i="48"/>
  <c r="G8" i="48"/>
  <c r="L7" i="48"/>
  <c r="K7" i="48"/>
  <c r="J7" i="48"/>
  <c r="I7" i="48"/>
  <c r="H7" i="48"/>
  <c r="G7" i="48"/>
  <c r="L21" i="48"/>
  <c r="K21" i="48"/>
  <c r="J21" i="48"/>
  <c r="I21" i="48"/>
  <c r="H21" i="48"/>
  <c r="G21" i="48"/>
  <c r="L20" i="48"/>
  <c r="K20" i="48"/>
  <c r="J20" i="48"/>
  <c r="I20" i="48"/>
  <c r="H20" i="48"/>
  <c r="G20" i="48"/>
  <c r="F18" i="48"/>
  <c r="E18" i="48"/>
  <c r="L17" i="48"/>
  <c r="K17" i="48"/>
  <c r="J17" i="48"/>
  <c r="I17" i="48"/>
  <c r="H17" i="48"/>
  <c r="G17" i="48"/>
  <c r="L16" i="48"/>
  <c r="K16" i="48"/>
  <c r="J16" i="48"/>
  <c r="I16" i="48"/>
  <c r="H16" i="48"/>
  <c r="G16" i="48"/>
  <c r="L15" i="48"/>
  <c r="K15" i="48"/>
  <c r="J15" i="48"/>
  <c r="I15" i="48"/>
  <c r="H15" i="48"/>
  <c r="G15" i="48"/>
  <c r="L14" i="48"/>
  <c r="K14" i="48"/>
  <c r="J14" i="48"/>
  <c r="I14" i="48"/>
  <c r="H14" i="48"/>
  <c r="G14" i="48"/>
  <c r="L13" i="48"/>
  <c r="K13" i="48"/>
  <c r="J13" i="48"/>
  <c r="I13" i="48"/>
  <c r="H13" i="48"/>
  <c r="G13" i="48"/>
  <c r="F42" i="48"/>
  <c r="E42" i="48"/>
  <c r="L41" i="48"/>
  <c r="K41" i="48"/>
  <c r="J41" i="48"/>
  <c r="I41" i="48"/>
  <c r="H41" i="48"/>
  <c r="N41" i="48" s="1"/>
  <c r="G41" i="48"/>
  <c r="M41" i="48" s="1"/>
  <c r="L40" i="48"/>
  <c r="K40" i="48"/>
  <c r="J40" i="48"/>
  <c r="I40" i="48"/>
  <c r="H40" i="48"/>
  <c r="G40" i="48"/>
  <c r="L39" i="48"/>
  <c r="K39" i="48"/>
  <c r="J39" i="48"/>
  <c r="I39" i="48"/>
  <c r="H39" i="48"/>
  <c r="N39" i="48" s="1"/>
  <c r="G39" i="48"/>
  <c r="M39" i="48" s="1"/>
  <c r="L38" i="48"/>
  <c r="K38" i="48"/>
  <c r="J38" i="48"/>
  <c r="I38" i="48"/>
  <c r="H38" i="48"/>
  <c r="G38" i="48"/>
  <c r="J42" i="48"/>
  <c r="I42" i="48"/>
  <c r="F34" i="48"/>
  <c r="E34" i="48"/>
  <c r="F27" i="48"/>
  <c r="E27" i="48"/>
  <c r="F11" i="48"/>
  <c r="E11" i="48"/>
  <c r="G20" i="49" l="1"/>
  <c r="H11" i="48"/>
  <c r="H34" i="48"/>
  <c r="J27" i="48"/>
  <c r="G11" i="48"/>
  <c r="G34" i="48"/>
  <c r="I27" i="48"/>
  <c r="M47" i="48"/>
  <c r="M49" i="48"/>
  <c r="N14" i="49"/>
  <c r="N16" i="49"/>
  <c r="N18" i="49"/>
  <c r="I12" i="49"/>
  <c r="G35" i="49"/>
  <c r="K35" i="49"/>
  <c r="N41" i="49"/>
  <c r="M45" i="49"/>
  <c r="M48" i="49"/>
  <c r="M40" i="49"/>
  <c r="M42" i="49"/>
  <c r="J20" i="49"/>
  <c r="N45" i="49"/>
  <c r="N48" i="49"/>
  <c r="N40" i="49"/>
  <c r="I43" i="49"/>
  <c r="G50" i="49"/>
  <c r="K50" i="49"/>
  <c r="K20" i="49"/>
  <c r="M15" i="49"/>
  <c r="M17" i="49"/>
  <c r="M19" i="49"/>
  <c r="M8" i="49"/>
  <c r="M10" i="49"/>
  <c r="M30" i="49"/>
  <c r="M32" i="49"/>
  <c r="M34" i="49"/>
  <c r="M37" i="49"/>
  <c r="M25" i="49"/>
  <c r="G12" i="49"/>
  <c r="N15" i="49"/>
  <c r="N17" i="49"/>
  <c r="N19" i="49"/>
  <c r="N7" i="49"/>
  <c r="N9" i="49"/>
  <c r="N11" i="49"/>
  <c r="J35" i="49"/>
  <c r="N29" i="49"/>
  <c r="N33" i="49"/>
  <c r="N22" i="49"/>
  <c r="N24" i="49"/>
  <c r="N26" i="49"/>
  <c r="M26" i="49"/>
  <c r="M27" i="49" s="1"/>
  <c r="H20" i="49"/>
  <c r="L20" i="49"/>
  <c r="G27" i="49"/>
  <c r="K27" i="49"/>
  <c r="J12" i="49"/>
  <c r="I20" i="49"/>
  <c r="N12" i="49"/>
  <c r="M50" i="49"/>
  <c r="J27" i="49"/>
  <c r="J43" i="49"/>
  <c r="N50" i="49"/>
  <c r="M7" i="48"/>
  <c r="K11" i="48"/>
  <c r="M9" i="48"/>
  <c r="K34" i="48"/>
  <c r="M31" i="48"/>
  <c r="M33" i="48"/>
  <c r="M25" i="48"/>
  <c r="G50" i="48"/>
  <c r="K50" i="48"/>
  <c r="M45" i="48"/>
  <c r="M46" i="48"/>
  <c r="M48" i="48"/>
  <c r="M52" i="48"/>
  <c r="N7" i="48"/>
  <c r="L11" i="48"/>
  <c r="N9" i="48"/>
  <c r="L34" i="48"/>
  <c r="N31" i="48"/>
  <c r="N33" i="48"/>
  <c r="N25" i="48"/>
  <c r="H50" i="48"/>
  <c r="L50" i="48"/>
  <c r="N45" i="48"/>
  <c r="N47" i="48"/>
  <c r="N49" i="48"/>
  <c r="N52" i="48"/>
  <c r="M29" i="48"/>
  <c r="M32" i="48"/>
  <c r="M24" i="48"/>
  <c r="M26" i="48"/>
  <c r="N29" i="48"/>
  <c r="N32" i="48"/>
  <c r="N24" i="48"/>
  <c r="N26" i="48"/>
  <c r="G27" i="48"/>
  <c r="I34" i="48"/>
  <c r="G42" i="48"/>
  <c r="K42" i="48"/>
  <c r="G18" i="48"/>
  <c r="K18" i="48"/>
  <c r="M14" i="48"/>
  <c r="M16" i="48"/>
  <c r="M8" i="48"/>
  <c r="M10" i="48"/>
  <c r="H42" i="48"/>
  <c r="H18" i="48"/>
  <c r="L18" i="48"/>
  <c r="N14" i="48"/>
  <c r="N16" i="48"/>
  <c r="N8" i="48"/>
  <c r="N10" i="48"/>
  <c r="I18" i="48"/>
  <c r="M13" i="48"/>
  <c r="M15" i="48"/>
  <c r="M17" i="48"/>
  <c r="M20" i="48"/>
  <c r="J18" i="48"/>
  <c r="N13" i="48"/>
  <c r="N15" i="48"/>
  <c r="N17" i="48"/>
  <c r="N20" i="48"/>
  <c r="K27" i="48"/>
  <c r="M38" i="48"/>
  <c r="M40" i="48"/>
  <c r="M21" i="48"/>
  <c r="H27" i="48"/>
  <c r="L27" i="48"/>
  <c r="J34" i="48"/>
  <c r="L42" i="48"/>
  <c r="N38" i="48"/>
  <c r="N40" i="48"/>
  <c r="N21" i="48"/>
  <c r="I11" i="48"/>
  <c r="J11" i="48"/>
  <c r="L43" i="47"/>
  <c r="K43" i="47"/>
  <c r="J43" i="47"/>
  <c r="I43" i="47"/>
  <c r="H43" i="47"/>
  <c r="N43" i="47" s="1"/>
  <c r="G43" i="47"/>
  <c r="M43" i="47" s="1"/>
  <c r="L42" i="47"/>
  <c r="K42" i="47"/>
  <c r="J42" i="47"/>
  <c r="I42" i="47"/>
  <c r="H42" i="47"/>
  <c r="N42" i="47" s="1"/>
  <c r="G42" i="47"/>
  <c r="M42" i="47" s="1"/>
  <c r="L41" i="47"/>
  <c r="K41" i="47"/>
  <c r="J41" i="47"/>
  <c r="I41" i="47"/>
  <c r="H41" i="47"/>
  <c r="N41" i="47" s="1"/>
  <c r="G41" i="47"/>
  <c r="M41" i="47" s="1"/>
  <c r="L40" i="47"/>
  <c r="K40" i="47"/>
  <c r="J40" i="47"/>
  <c r="I40" i="47"/>
  <c r="H40" i="47"/>
  <c r="N40" i="47" s="1"/>
  <c r="G40" i="47"/>
  <c r="M40" i="47" s="1"/>
  <c r="L39" i="47"/>
  <c r="K39" i="47"/>
  <c r="J39" i="47"/>
  <c r="I39" i="47"/>
  <c r="H39" i="47"/>
  <c r="N39" i="47" s="1"/>
  <c r="G39" i="47"/>
  <c r="M39" i="47" s="1"/>
  <c r="L38" i="47"/>
  <c r="K38" i="47"/>
  <c r="K44" i="47" s="1"/>
  <c r="J38" i="47"/>
  <c r="J44" i="47" s="1"/>
  <c r="I38" i="47"/>
  <c r="I44" i="47" s="1"/>
  <c r="H38" i="47"/>
  <c r="N38" i="47" s="1"/>
  <c r="G38" i="47"/>
  <c r="G44" i="47" s="1"/>
  <c r="E53" i="47"/>
  <c r="F53" i="47"/>
  <c r="L52" i="47"/>
  <c r="K52" i="47"/>
  <c r="J52" i="47"/>
  <c r="I52" i="47"/>
  <c r="H52" i="47"/>
  <c r="N52" i="47" s="1"/>
  <c r="G52" i="47"/>
  <c r="M52" i="47" s="1"/>
  <c r="L51" i="47"/>
  <c r="K51" i="47"/>
  <c r="J51" i="47"/>
  <c r="I51" i="47"/>
  <c r="H51" i="47"/>
  <c r="N51" i="47" s="1"/>
  <c r="G51" i="47"/>
  <c r="M51" i="47" s="1"/>
  <c r="L50" i="47"/>
  <c r="K50" i="47"/>
  <c r="J50" i="47"/>
  <c r="I50" i="47"/>
  <c r="H50" i="47"/>
  <c r="N50" i="47" s="1"/>
  <c r="G50" i="47"/>
  <c r="M50" i="47" s="1"/>
  <c r="L49" i="47"/>
  <c r="K49" i="47"/>
  <c r="J49" i="47"/>
  <c r="I49" i="47"/>
  <c r="H49" i="47"/>
  <c r="N49" i="47" s="1"/>
  <c r="G49" i="47"/>
  <c r="M49" i="47" s="1"/>
  <c r="L48" i="47"/>
  <c r="K48" i="47"/>
  <c r="J48" i="47"/>
  <c r="I48" i="47"/>
  <c r="H48" i="47"/>
  <c r="N48" i="47" s="1"/>
  <c r="G48" i="47"/>
  <c r="M48" i="47" s="1"/>
  <c r="L47" i="47"/>
  <c r="K47" i="47"/>
  <c r="J47" i="47"/>
  <c r="I47" i="47"/>
  <c r="H47" i="47"/>
  <c r="N47" i="47" s="1"/>
  <c r="G47" i="47"/>
  <c r="M47" i="47" s="1"/>
  <c r="L46" i="47"/>
  <c r="K46" i="47"/>
  <c r="J46" i="47"/>
  <c r="I46" i="47"/>
  <c r="H46" i="47"/>
  <c r="N46" i="47" s="1"/>
  <c r="G46" i="47"/>
  <c r="M46" i="47" s="1"/>
  <c r="L53" i="47"/>
  <c r="K53" i="47"/>
  <c r="J53" i="47"/>
  <c r="I53" i="47"/>
  <c r="N53" i="47"/>
  <c r="L27" i="47"/>
  <c r="K27" i="47"/>
  <c r="J27" i="47"/>
  <c r="I27" i="47"/>
  <c r="H27" i="47"/>
  <c r="N27" i="47" s="1"/>
  <c r="G27" i="47"/>
  <c r="M27" i="47" s="1"/>
  <c r="L26" i="47"/>
  <c r="K26" i="47"/>
  <c r="J26" i="47"/>
  <c r="I26" i="47"/>
  <c r="H26" i="47"/>
  <c r="N26" i="47" s="1"/>
  <c r="G26" i="47"/>
  <c r="M26" i="47" s="1"/>
  <c r="L25" i="47"/>
  <c r="K25" i="47"/>
  <c r="J25" i="47"/>
  <c r="I25" i="47"/>
  <c r="H25" i="47"/>
  <c r="N25" i="47" s="1"/>
  <c r="G25" i="47"/>
  <c r="M25" i="47" s="1"/>
  <c r="L28" i="47"/>
  <c r="K28" i="47"/>
  <c r="G28" i="47"/>
  <c r="L35" i="47"/>
  <c r="K35" i="47"/>
  <c r="J35" i="47"/>
  <c r="I35" i="47"/>
  <c r="H35" i="47"/>
  <c r="N35" i="47" s="1"/>
  <c r="G35" i="47"/>
  <c r="M35" i="47" s="1"/>
  <c r="L34" i="47"/>
  <c r="K34" i="47"/>
  <c r="J34" i="47"/>
  <c r="I34" i="47"/>
  <c r="H34" i="47"/>
  <c r="N34" i="47" s="1"/>
  <c r="G34" i="47"/>
  <c r="M34" i="47" s="1"/>
  <c r="L33" i="47"/>
  <c r="K33" i="47"/>
  <c r="J33" i="47"/>
  <c r="I33" i="47"/>
  <c r="H33" i="47"/>
  <c r="N33" i="47" s="1"/>
  <c r="G33" i="47"/>
  <c r="M33" i="47" s="1"/>
  <c r="L30" i="47"/>
  <c r="K30" i="47"/>
  <c r="J30" i="47"/>
  <c r="I30" i="47"/>
  <c r="H30" i="47"/>
  <c r="N30" i="47" s="1"/>
  <c r="G30" i="47"/>
  <c r="M30" i="47" s="1"/>
  <c r="E13" i="47"/>
  <c r="L9" i="47"/>
  <c r="K9" i="47"/>
  <c r="J9" i="47"/>
  <c r="I9" i="47"/>
  <c r="H9" i="47"/>
  <c r="N9" i="47" s="1"/>
  <c r="G9" i="47"/>
  <c r="L12" i="47"/>
  <c r="K12" i="47"/>
  <c r="J12" i="47"/>
  <c r="I12" i="47"/>
  <c r="H12" i="47"/>
  <c r="G12" i="47"/>
  <c r="M12" i="47" s="1"/>
  <c r="L11" i="47"/>
  <c r="K11" i="47"/>
  <c r="J11" i="47"/>
  <c r="I11" i="47"/>
  <c r="H11" i="47"/>
  <c r="N11" i="47" s="1"/>
  <c r="G11" i="47"/>
  <c r="M11" i="47" s="1"/>
  <c r="L10" i="47"/>
  <c r="K10" i="47"/>
  <c r="J10" i="47"/>
  <c r="I10" i="47"/>
  <c r="H10" i="47"/>
  <c r="N10" i="47" s="1"/>
  <c r="G10" i="47"/>
  <c r="M10" i="47" s="1"/>
  <c r="L7" i="47"/>
  <c r="L13" i="47" s="1"/>
  <c r="K7" i="47"/>
  <c r="J7" i="47"/>
  <c r="I7" i="47"/>
  <c r="H7" i="47"/>
  <c r="N7" i="47" s="1"/>
  <c r="G7" i="47"/>
  <c r="M7" i="47" s="1"/>
  <c r="L20" i="47"/>
  <c r="K20" i="47"/>
  <c r="J20" i="47"/>
  <c r="I20" i="47"/>
  <c r="H20" i="47"/>
  <c r="N20" i="47" s="1"/>
  <c r="G20" i="47"/>
  <c r="M20" i="47" s="1"/>
  <c r="L19" i="47"/>
  <c r="K19" i="47"/>
  <c r="J19" i="47"/>
  <c r="I19" i="47"/>
  <c r="H19" i="47"/>
  <c r="N19" i="47" s="1"/>
  <c r="G19" i="47"/>
  <c r="M19" i="47" s="1"/>
  <c r="L18" i="47"/>
  <c r="K18" i="47"/>
  <c r="J18" i="47"/>
  <c r="I18" i="47"/>
  <c r="H18" i="47"/>
  <c r="N18" i="47" s="1"/>
  <c r="G18" i="47"/>
  <c r="M18" i="47" s="1"/>
  <c r="L16" i="47"/>
  <c r="K16" i="47"/>
  <c r="J16" i="47"/>
  <c r="I16" i="47"/>
  <c r="H16" i="47"/>
  <c r="N16" i="47" s="1"/>
  <c r="G16" i="47"/>
  <c r="M16" i="47" s="1"/>
  <c r="L15" i="47"/>
  <c r="K15" i="47"/>
  <c r="J15" i="47"/>
  <c r="I15" i="47"/>
  <c r="H15" i="47"/>
  <c r="N15" i="47" s="1"/>
  <c r="G15" i="47"/>
  <c r="M15" i="47" s="1"/>
  <c r="L21" i="47"/>
  <c r="F44" i="47"/>
  <c r="E44" i="47"/>
  <c r="L44" i="47"/>
  <c r="H44" i="47"/>
  <c r="F36" i="47"/>
  <c r="E36" i="47"/>
  <c r="L36" i="47"/>
  <c r="F28" i="47"/>
  <c r="E28" i="47"/>
  <c r="J28" i="47"/>
  <c r="F21" i="47"/>
  <c r="E21" i="47"/>
  <c r="K21" i="47"/>
  <c r="F13" i="47"/>
  <c r="N20" i="49" l="1"/>
  <c r="M35" i="49"/>
  <c r="M20" i="49"/>
  <c r="N27" i="49"/>
  <c r="M12" i="49"/>
  <c r="M43" i="49"/>
  <c r="K36" i="47"/>
  <c r="J36" i="47"/>
  <c r="H36" i="47"/>
  <c r="J21" i="47"/>
  <c r="H53" i="47"/>
  <c r="J13" i="47"/>
  <c r="M53" i="47"/>
  <c r="G53" i="47"/>
  <c r="N34" i="48"/>
  <c r="M27" i="48"/>
  <c r="N35" i="49"/>
  <c r="N43" i="49"/>
  <c r="N11" i="48"/>
  <c r="N50" i="48"/>
  <c r="M50" i="48"/>
  <c r="M11" i="48"/>
  <c r="N27" i="48"/>
  <c r="N18" i="48"/>
  <c r="N12" i="47"/>
  <c r="N42" i="48"/>
  <c r="M34" i="48"/>
  <c r="M18" i="48"/>
  <c r="M42" i="48"/>
  <c r="M38" i="47"/>
  <c r="G21" i="47"/>
  <c r="H28" i="47"/>
  <c r="H21" i="47"/>
  <c r="G36" i="47"/>
  <c r="H13" i="47"/>
  <c r="G13" i="47"/>
  <c r="M9" i="47"/>
  <c r="K13" i="47"/>
  <c r="I13" i="47"/>
  <c r="I21" i="47"/>
  <c r="I28" i="47"/>
  <c r="I36" i="47"/>
  <c r="M13" i="47"/>
  <c r="M21" i="47"/>
  <c r="M28" i="47"/>
  <c r="M36" i="47"/>
  <c r="M44" i="47"/>
  <c r="N13" i="47"/>
  <c r="N21" i="47"/>
  <c r="N28" i="47"/>
  <c r="N36" i="47"/>
  <c r="N44" i="47"/>
  <c r="L56" i="46"/>
  <c r="K56" i="46"/>
  <c r="J56" i="46"/>
  <c r="I56" i="46"/>
  <c r="H56" i="46"/>
  <c r="N56" i="46" s="1"/>
  <c r="G56" i="46"/>
  <c r="L55" i="46"/>
  <c r="K55" i="46"/>
  <c r="J55" i="46"/>
  <c r="I55" i="46"/>
  <c r="H55" i="46"/>
  <c r="N55" i="46" s="1"/>
  <c r="G55" i="46"/>
  <c r="M55" i="46" s="1"/>
  <c r="L54" i="46"/>
  <c r="K54" i="46"/>
  <c r="J54" i="46"/>
  <c r="I54" i="46"/>
  <c r="H54" i="46"/>
  <c r="N54" i="46" s="1"/>
  <c r="G54" i="46"/>
  <c r="M54" i="46" s="1"/>
  <c r="L53" i="46"/>
  <c r="K53" i="46"/>
  <c r="J53" i="46"/>
  <c r="I53" i="46"/>
  <c r="H53" i="46"/>
  <c r="N53" i="46" s="1"/>
  <c r="G53" i="46"/>
  <c r="M53" i="46" s="1"/>
  <c r="L52" i="46"/>
  <c r="K52" i="46"/>
  <c r="J52" i="46"/>
  <c r="I52" i="46"/>
  <c r="H52" i="46"/>
  <c r="N52" i="46" s="1"/>
  <c r="G52" i="46"/>
  <c r="M52" i="46" s="1"/>
  <c r="L64" i="46"/>
  <c r="K64" i="46"/>
  <c r="J64" i="46"/>
  <c r="I64" i="46"/>
  <c r="H64" i="46"/>
  <c r="N64" i="46" s="1"/>
  <c r="G64" i="46"/>
  <c r="M64" i="46" s="1"/>
  <c r="L63" i="46"/>
  <c r="K63" i="46"/>
  <c r="J63" i="46"/>
  <c r="I63" i="46"/>
  <c r="H63" i="46"/>
  <c r="N63" i="46" s="1"/>
  <c r="G63" i="46"/>
  <c r="M63" i="46" s="1"/>
  <c r="L62" i="46"/>
  <c r="K62" i="46"/>
  <c r="J62" i="46"/>
  <c r="I62" i="46"/>
  <c r="H62" i="46"/>
  <c r="N62" i="46" s="1"/>
  <c r="G62" i="46"/>
  <c r="M62" i="46" s="1"/>
  <c r="L61" i="46"/>
  <c r="K61" i="46"/>
  <c r="J61" i="46"/>
  <c r="I61" i="46"/>
  <c r="H61" i="46"/>
  <c r="N61" i="46" s="1"/>
  <c r="G61" i="46"/>
  <c r="M61" i="46" s="1"/>
  <c r="L60" i="46"/>
  <c r="K60" i="46"/>
  <c r="J60" i="46"/>
  <c r="I60" i="46"/>
  <c r="H60" i="46"/>
  <c r="N60" i="46" s="1"/>
  <c r="G60" i="46"/>
  <c r="M60" i="46" s="1"/>
  <c r="L59" i="46"/>
  <c r="K59" i="46"/>
  <c r="J59" i="46"/>
  <c r="I59" i="46"/>
  <c r="H59" i="46"/>
  <c r="N59" i="46" s="1"/>
  <c r="G59" i="46"/>
  <c r="M59" i="46" s="1"/>
  <c r="L40" i="46"/>
  <c r="K40" i="46"/>
  <c r="J40" i="46"/>
  <c r="I40" i="46"/>
  <c r="H40" i="46"/>
  <c r="N40" i="46" s="1"/>
  <c r="G40" i="46"/>
  <c r="M40" i="46" s="1"/>
  <c r="L39" i="46"/>
  <c r="K39" i="46"/>
  <c r="J39" i="46"/>
  <c r="I39" i="46"/>
  <c r="H39" i="46"/>
  <c r="N39" i="46" s="1"/>
  <c r="G39" i="46"/>
  <c r="M39" i="46" s="1"/>
  <c r="L38" i="46"/>
  <c r="K38" i="46"/>
  <c r="J38" i="46"/>
  <c r="I38" i="46"/>
  <c r="H38" i="46"/>
  <c r="N38" i="46" s="1"/>
  <c r="G38" i="46"/>
  <c r="M38" i="46" s="1"/>
  <c r="L37" i="46"/>
  <c r="K37" i="46"/>
  <c r="J37" i="46"/>
  <c r="I37" i="46"/>
  <c r="H37" i="46"/>
  <c r="N37" i="46" s="1"/>
  <c r="G37" i="46"/>
  <c r="M37" i="46" s="1"/>
  <c r="L36" i="46"/>
  <c r="K36" i="46"/>
  <c r="J36" i="46"/>
  <c r="I36" i="46"/>
  <c r="H36" i="46"/>
  <c r="N36" i="46" s="1"/>
  <c r="G36" i="46"/>
  <c r="M36" i="46" s="1"/>
  <c r="L35" i="46"/>
  <c r="K35" i="46"/>
  <c r="J35" i="46"/>
  <c r="I35" i="46"/>
  <c r="H35" i="46"/>
  <c r="N35" i="46" s="1"/>
  <c r="G35" i="46"/>
  <c r="M35" i="46" s="1"/>
  <c r="L49" i="46"/>
  <c r="K49" i="46"/>
  <c r="J49" i="46"/>
  <c r="I49" i="46"/>
  <c r="H49" i="46"/>
  <c r="N49" i="46" s="1"/>
  <c r="G49" i="46"/>
  <c r="M49" i="46" s="1"/>
  <c r="L48" i="46"/>
  <c r="K48" i="46"/>
  <c r="J48" i="46"/>
  <c r="I48" i="46"/>
  <c r="H48" i="46"/>
  <c r="N48" i="46" s="1"/>
  <c r="G48" i="46"/>
  <c r="M48" i="46" s="1"/>
  <c r="L46" i="46"/>
  <c r="K46" i="46"/>
  <c r="J46" i="46"/>
  <c r="I46" i="46"/>
  <c r="H46" i="46"/>
  <c r="N46" i="46" s="1"/>
  <c r="G46" i="46"/>
  <c r="M46" i="46" s="1"/>
  <c r="L45" i="46"/>
  <c r="K45" i="46"/>
  <c r="J45" i="46"/>
  <c r="I45" i="46"/>
  <c r="H45" i="46"/>
  <c r="N45" i="46" s="1"/>
  <c r="G45" i="46"/>
  <c r="M45" i="46" s="1"/>
  <c r="L44" i="46"/>
  <c r="K44" i="46"/>
  <c r="J44" i="46"/>
  <c r="I44" i="46"/>
  <c r="H44" i="46"/>
  <c r="N44" i="46" s="1"/>
  <c r="G44" i="46"/>
  <c r="M44" i="46" s="1"/>
  <c r="L43" i="46"/>
  <c r="K43" i="46"/>
  <c r="J43" i="46"/>
  <c r="I43" i="46"/>
  <c r="H43" i="46"/>
  <c r="N43" i="46" s="1"/>
  <c r="G43" i="46"/>
  <c r="M43" i="46" s="1"/>
  <c r="F65" i="46"/>
  <c r="E65" i="46"/>
  <c r="L65" i="46"/>
  <c r="K65" i="46"/>
  <c r="J65" i="46"/>
  <c r="I65" i="46"/>
  <c r="H65" i="46"/>
  <c r="G65" i="46"/>
  <c r="F57" i="46"/>
  <c r="E57" i="46"/>
  <c r="J57" i="46"/>
  <c r="F50" i="46"/>
  <c r="E50" i="46"/>
  <c r="L50" i="46"/>
  <c r="K50" i="46"/>
  <c r="J50" i="46"/>
  <c r="I50" i="46"/>
  <c r="H50" i="46"/>
  <c r="G50" i="46"/>
  <c r="F41" i="46"/>
  <c r="E41" i="46"/>
  <c r="J41" i="46"/>
  <c r="I41" i="46"/>
  <c r="H41" i="46"/>
  <c r="F33" i="46"/>
  <c r="E33" i="46"/>
  <c r="L32" i="46"/>
  <c r="K32" i="46"/>
  <c r="J32" i="46"/>
  <c r="I32" i="46"/>
  <c r="H32" i="46"/>
  <c r="N32" i="46" s="1"/>
  <c r="G32" i="46"/>
  <c r="M32" i="46" s="1"/>
  <c r="L31" i="46"/>
  <c r="K31" i="46"/>
  <c r="J31" i="46"/>
  <c r="I31" i="46"/>
  <c r="H31" i="46"/>
  <c r="N31" i="46" s="1"/>
  <c r="G31" i="46"/>
  <c r="M31" i="46" s="1"/>
  <c r="L30" i="46"/>
  <c r="K30" i="46"/>
  <c r="J30" i="46"/>
  <c r="I30" i="46"/>
  <c r="H30" i="46"/>
  <c r="N30" i="46" s="1"/>
  <c r="G30" i="46"/>
  <c r="M30" i="46" s="1"/>
  <c r="L29" i="46"/>
  <c r="K29" i="46"/>
  <c r="J29" i="46"/>
  <c r="I29" i="46"/>
  <c r="H29" i="46"/>
  <c r="N29" i="46" s="1"/>
  <c r="G29" i="46"/>
  <c r="M29" i="46" s="1"/>
  <c r="L28" i="46"/>
  <c r="K28" i="46"/>
  <c r="J28" i="46"/>
  <c r="I28" i="46"/>
  <c r="H28" i="46"/>
  <c r="N28" i="46" s="1"/>
  <c r="G28" i="46"/>
  <c r="M28" i="46" s="1"/>
  <c r="L27" i="46"/>
  <c r="K27" i="46"/>
  <c r="J27" i="46"/>
  <c r="I27" i="46"/>
  <c r="H27" i="46"/>
  <c r="N27" i="46" s="1"/>
  <c r="G27" i="46"/>
  <c r="M27" i="46" s="1"/>
  <c r="L26" i="46"/>
  <c r="K26" i="46"/>
  <c r="J26" i="46"/>
  <c r="I26" i="46"/>
  <c r="H26" i="46"/>
  <c r="N26" i="46" s="1"/>
  <c r="G26" i="46"/>
  <c r="M26" i="46" s="1"/>
  <c r="L33" i="46"/>
  <c r="K33" i="46"/>
  <c r="J33" i="46"/>
  <c r="G33" i="46"/>
  <c r="F24" i="46"/>
  <c r="E24" i="46"/>
  <c r="L23" i="46"/>
  <c r="K23" i="46"/>
  <c r="J23" i="46"/>
  <c r="I23" i="46"/>
  <c r="H23" i="46"/>
  <c r="N23" i="46" s="1"/>
  <c r="G23" i="46"/>
  <c r="M23" i="46" s="1"/>
  <c r="L22" i="46"/>
  <c r="K22" i="46"/>
  <c r="J22" i="46"/>
  <c r="I22" i="46"/>
  <c r="H22" i="46"/>
  <c r="N22" i="46" s="1"/>
  <c r="G22" i="46"/>
  <c r="M22" i="46" s="1"/>
  <c r="L21" i="46"/>
  <c r="K21" i="46"/>
  <c r="J21" i="46"/>
  <c r="I21" i="46"/>
  <c r="H21" i="46"/>
  <c r="N21" i="46" s="1"/>
  <c r="G21" i="46"/>
  <c r="M21" i="46" s="1"/>
  <c r="L20" i="46"/>
  <c r="K20" i="46"/>
  <c r="J20" i="46"/>
  <c r="I20" i="46"/>
  <c r="H20" i="46"/>
  <c r="N20" i="46" s="1"/>
  <c r="G20" i="46"/>
  <c r="M20" i="46" s="1"/>
  <c r="L19" i="46"/>
  <c r="K19" i="46"/>
  <c r="J19" i="46"/>
  <c r="I19" i="46"/>
  <c r="H19" i="46"/>
  <c r="N19" i="46" s="1"/>
  <c r="G19" i="46"/>
  <c r="M19" i="46" s="1"/>
  <c r="L18" i="46"/>
  <c r="K18" i="46"/>
  <c r="J18" i="46"/>
  <c r="J24" i="46" s="1"/>
  <c r="I18" i="46"/>
  <c r="H18" i="46"/>
  <c r="G18" i="46"/>
  <c r="H57" i="46" l="1"/>
  <c r="H33" i="46"/>
  <c r="K41" i="46"/>
  <c r="G57" i="46"/>
  <c r="I57" i="46"/>
  <c r="K57" i="46"/>
  <c r="L41" i="46"/>
  <c r="L57" i="46"/>
  <c r="M56" i="46"/>
  <c r="G41" i="46"/>
  <c r="H24" i="46"/>
  <c r="L24" i="46"/>
  <c r="G24" i="46"/>
  <c r="K24" i="46"/>
  <c r="M57" i="46"/>
  <c r="M65" i="46"/>
  <c r="N57" i="46"/>
  <c r="N65" i="46"/>
  <c r="M41" i="46"/>
  <c r="M50" i="46"/>
  <c r="N41" i="46"/>
  <c r="N50" i="46"/>
  <c r="I24" i="46"/>
  <c r="I33" i="46"/>
  <c r="M18" i="46"/>
  <c r="M24" i="46" s="1"/>
  <c r="M33" i="46"/>
  <c r="N18" i="46"/>
  <c r="N24" i="46" s="1"/>
  <c r="N33" i="46"/>
</calcChain>
</file>

<file path=xl/sharedStrings.xml><?xml version="1.0" encoding="utf-8"?>
<sst xmlns="http://schemas.openxmlformats.org/spreadsheetml/2006/main" count="540" uniqueCount="173">
  <si>
    <t>№ рец.</t>
  </si>
  <si>
    <t>Наименование блюда</t>
  </si>
  <si>
    <t>Жиры,гр.</t>
  </si>
  <si>
    <t>Белки,гр.</t>
  </si>
  <si>
    <t>Углеводы,гр.</t>
  </si>
  <si>
    <t>Энергетическая ценность (ккал)</t>
  </si>
  <si>
    <t>Выход,гр.</t>
  </si>
  <si>
    <t>Пищевые вещества.</t>
  </si>
  <si>
    <t>ОБЕД</t>
  </si>
  <si>
    <t>Макаронные изделия отварные</t>
  </si>
  <si>
    <t>Чай с лимоном</t>
  </si>
  <si>
    <t>ИТОГО  ОБЕД:</t>
  </si>
  <si>
    <t>7-11 лет</t>
  </si>
  <si>
    <t>46/2008г</t>
  </si>
  <si>
    <t>92/2008г</t>
  </si>
  <si>
    <t>Картофельное пюре</t>
  </si>
  <si>
    <t>Хлеб ржаной</t>
  </si>
  <si>
    <t xml:space="preserve"> </t>
  </si>
  <si>
    <t>Тефтели 2-й вариант</t>
  </si>
  <si>
    <t>чай с лимоном</t>
  </si>
  <si>
    <t>2004г</t>
  </si>
  <si>
    <t xml:space="preserve">Сборник рецептур блюд и кулинарных изделий для предприятий общественного питания      </t>
  </si>
  <si>
    <t>2008г</t>
  </si>
  <si>
    <t xml:space="preserve">Сборник  технических нормативов, рецептур блюд и кулинарных изделий для           </t>
  </si>
  <si>
    <t xml:space="preserve">предприятий общественного питания при образовательных учреждениях УР.  Ижевск 2008 г.   </t>
  </si>
  <si>
    <t>2013г</t>
  </si>
  <si>
    <t xml:space="preserve">организации питания детей в дошкольных организациях УР.  Ижевск 2013 г.   </t>
  </si>
  <si>
    <t>462/2004г</t>
  </si>
  <si>
    <t>97/2008г</t>
  </si>
  <si>
    <t>2021г</t>
  </si>
  <si>
    <t>Единый сборник технологических нормативов, рецептур блюд и кулинарных изделий для детских садов,</t>
  </si>
  <si>
    <t>общеобразовательных школах. Уральский региональный центр питания. Пермь 2021 г. (Под общей редакцией А.Я. Превалова)</t>
  </si>
  <si>
    <t xml:space="preserve">при общеобразовательных школах . Москва 2004г (Под общей редакцией В.Т Лапшиной)   </t>
  </si>
  <si>
    <t>День недели</t>
  </si>
  <si>
    <t xml:space="preserve">УТВЕРЖДАЮ </t>
  </si>
  <si>
    <t>СОГЛАСОВАНО</t>
  </si>
  <si>
    <t>Генеральный директор ООО "Школьное питание"</t>
  </si>
  <si>
    <t>Колеватов Е.С____________</t>
  </si>
  <si>
    <t>12-18 лет</t>
  </si>
  <si>
    <t>459/2021г</t>
  </si>
  <si>
    <t>457/2021г</t>
  </si>
  <si>
    <t>495/2021г</t>
  </si>
  <si>
    <t>Компот из смеси сухофруктов</t>
  </si>
  <si>
    <t>Список литературы</t>
  </si>
  <si>
    <t>обед</t>
  </si>
  <si>
    <t>завтрак</t>
  </si>
  <si>
    <t>2 нед.</t>
  </si>
  <si>
    <t>1 нед.</t>
  </si>
  <si>
    <t>141/2008г</t>
  </si>
  <si>
    <t>Соус томатный</t>
  </si>
  <si>
    <t>100/2021г</t>
  </si>
  <si>
    <t>Рассольник ленинградский</t>
  </si>
  <si>
    <t>176/2013г</t>
  </si>
  <si>
    <t>Жаркое по-домашнему</t>
  </si>
  <si>
    <t>41/2008г</t>
  </si>
  <si>
    <t xml:space="preserve">Щи из свежей капусты с картофелем </t>
  </si>
  <si>
    <t>574/2021г</t>
  </si>
  <si>
    <t>573/2021г</t>
  </si>
  <si>
    <t>Хлеб пшеничный формовой</t>
  </si>
  <si>
    <t xml:space="preserve">Суп картофельный с мак. изделиями </t>
  </si>
  <si>
    <t>суп гороховый</t>
  </si>
  <si>
    <t>чай с сахаром</t>
  </si>
  <si>
    <t>БЛЮДО</t>
  </si>
  <si>
    <t>каша</t>
  </si>
  <si>
    <t>напиток</t>
  </si>
  <si>
    <t>закуска</t>
  </si>
  <si>
    <t>суп</t>
  </si>
  <si>
    <t>гарнир</t>
  </si>
  <si>
    <t>рыба</t>
  </si>
  <si>
    <t>мясо</t>
  </si>
  <si>
    <t>птица</t>
  </si>
  <si>
    <t>компот из смеси сухофруктов</t>
  </si>
  <si>
    <t>напиток из шиповника</t>
  </si>
  <si>
    <t>борщ с картофелем</t>
  </si>
  <si>
    <t>напиток лимонный</t>
  </si>
  <si>
    <t>496/2021г</t>
  </si>
  <si>
    <t>Напиток из плодов шиповника</t>
  </si>
  <si>
    <t>347/2021г</t>
  </si>
  <si>
    <t>Котлеты "Школьные"</t>
  </si>
  <si>
    <t>94/2021г</t>
  </si>
  <si>
    <t>Борщ с картофелем</t>
  </si>
  <si>
    <t>156/2008г</t>
  </si>
  <si>
    <t>Напиток лимонный</t>
  </si>
  <si>
    <t>47/2008г</t>
  </si>
  <si>
    <t>Суп картофельный с бобовыми</t>
  </si>
  <si>
    <t>494/2004г</t>
  </si>
  <si>
    <t>Птица запеченная</t>
  </si>
  <si>
    <t>птица в соусе с томатом</t>
  </si>
  <si>
    <t>биточки особые</t>
  </si>
  <si>
    <t xml:space="preserve">компот из яблок </t>
  </si>
  <si>
    <t>суп с макаронными изделиями</t>
  </si>
  <si>
    <t>гуляш</t>
  </si>
  <si>
    <t>борщ с капустой и картофелем</t>
  </si>
  <si>
    <t>картофельное пюре</t>
  </si>
  <si>
    <t xml:space="preserve">Основное двухнедельное  цикличное меню </t>
  </si>
  <si>
    <t>для организации питания учащихся 7-11 лет, 12 лет и старше</t>
  </si>
  <si>
    <t>тефтели 2-вариант</t>
  </si>
  <si>
    <t>367/2021г</t>
  </si>
  <si>
    <t>486/2021г</t>
  </si>
  <si>
    <t>Компот из свежих плодов и ягод</t>
  </si>
  <si>
    <t>202/2021г</t>
  </si>
  <si>
    <t>Каша гречневая рассыпчатая</t>
  </si>
  <si>
    <t>63/2008г</t>
  </si>
  <si>
    <t>Гуляш</t>
  </si>
  <si>
    <t>196/2013г</t>
  </si>
  <si>
    <t>Капуста тушеная с мясом</t>
  </si>
  <si>
    <t>39/2008г</t>
  </si>
  <si>
    <t xml:space="preserve">Борщ с капустой и картофелем </t>
  </si>
  <si>
    <r>
      <rPr>
        <sz val="10"/>
        <color theme="1"/>
        <rFont val="Calibri"/>
        <family val="2"/>
        <charset val="204"/>
      </rPr>
      <t>*</t>
    </r>
    <r>
      <rPr>
        <sz val="9"/>
        <color theme="1"/>
        <rFont val="Calibri"/>
        <family val="2"/>
        <charset val="204"/>
      </rPr>
      <t>замена кулинарного изделия</t>
    </r>
  </si>
  <si>
    <t>Чай с сахаром</t>
  </si>
  <si>
    <t>48/2008г</t>
  </si>
  <si>
    <t>Суп крестьянский с крупой</t>
  </si>
  <si>
    <t>птица запеченая</t>
  </si>
  <si>
    <t>суп крестянский с крупой</t>
  </si>
  <si>
    <t>макароны отварные</t>
  </si>
  <si>
    <t>котлеты Школьные</t>
  </si>
  <si>
    <t>каша гречневая</t>
  </si>
  <si>
    <t>рассольник ленинградский</t>
  </si>
  <si>
    <t>щи</t>
  </si>
  <si>
    <t>жаркое по-домашнему</t>
  </si>
  <si>
    <t>суп картофельный с яйцом/с крупой</t>
  </si>
  <si>
    <t>каша пшенная</t>
  </si>
  <si>
    <t>котлета Загадка</t>
  </si>
  <si>
    <t>уха со взбитым яйцом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</si>
  <si>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</si>
  <si>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</si>
  <si>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</si>
  <si>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</si>
  <si>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</si>
  <si>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</si>
  <si>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</si>
  <si>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</si>
  <si>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</si>
  <si>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</si>
  <si>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11 день</t>
  </si>
  <si>
    <t>12 день</t>
  </si>
  <si>
    <t>60/2008г</t>
  </si>
  <si>
    <t>Уха со взбитым яйцом</t>
  </si>
  <si>
    <t>Птица в соусе с томатом</t>
  </si>
  <si>
    <t>76/2008г</t>
  </si>
  <si>
    <t>Котлета "Загадка"</t>
  </si>
  <si>
    <t>451/2004г</t>
  </si>
  <si>
    <t>Шницель</t>
  </si>
  <si>
    <t>94/2008г</t>
  </si>
  <si>
    <t>Рис припущеный</t>
  </si>
  <si>
    <t>443/2004г</t>
  </si>
  <si>
    <r>
      <t>Плов</t>
    </r>
    <r>
      <rPr>
        <sz val="10"/>
        <color theme="1"/>
        <rFont val="Calibri"/>
        <family val="2"/>
        <charset val="204"/>
      </rPr>
      <t>*</t>
    </r>
  </si>
  <si>
    <t>114/2021г</t>
  </si>
  <si>
    <t>452/2004г</t>
  </si>
  <si>
    <t>Биточки особые</t>
  </si>
  <si>
    <t>63/2013г</t>
  </si>
  <si>
    <t>Суп картофельный с яйцом (пуштыешыд)</t>
  </si>
  <si>
    <r>
      <t>Суп картофельный с крупой</t>
    </r>
    <r>
      <rPr>
        <sz val="10"/>
        <rFont val="Calibri"/>
        <family val="2"/>
        <charset val="204"/>
      </rPr>
      <t>*</t>
    </r>
  </si>
  <si>
    <t>510/2004г</t>
  </si>
  <si>
    <t>81/2008г</t>
  </si>
  <si>
    <r>
      <t>Фрикадельки "Петушок"</t>
    </r>
    <r>
      <rPr>
        <sz val="10"/>
        <color theme="1"/>
        <rFont val="Calibri"/>
        <family val="2"/>
        <charset val="204"/>
      </rPr>
      <t>*</t>
    </r>
  </si>
  <si>
    <t>Каша гречневая вязкая</t>
  </si>
  <si>
    <t>фрикадельки петушок</t>
  </si>
  <si>
    <t>рис припущенный+шницель
или
плов</t>
  </si>
  <si>
    <t>Каша пшенная вязкая</t>
  </si>
  <si>
    <t>в МБОУ  Лудорвайская СОШ имени героя Советского Союза А.М. Лушникова</t>
  </si>
  <si>
    <t>имени героя Советского Союза А.М. Лушникова</t>
  </si>
  <si>
    <t xml:space="preserve">Директор МБОУ  Лудорвайская СОШ </t>
  </si>
  <si>
    <t>Мерзлякова Н.Н._____________</t>
  </si>
  <si>
    <t>ЗАВТРАК</t>
  </si>
  <si>
    <t>ИТОГО ЗАВТРАК</t>
  </si>
  <si>
    <t>каша пшеничная</t>
  </si>
  <si>
    <t>пюре гороховое</t>
  </si>
  <si>
    <t>капуста тушеная с мясом</t>
  </si>
  <si>
    <t>без супа</t>
  </si>
  <si>
    <t>Каша пшеничная вязкая</t>
  </si>
  <si>
    <t>389/2021г</t>
  </si>
  <si>
    <t>Пюре из гороха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</si>
</sst>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.5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u/>
      <sz val="10"/>
      <name val="Calibri"/>
      <family val="2"/>
      <charset val="204"/>
    </font>
    <font>
      <sz val="10"/>
      <name val="Calibri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3"/>
      <color indexed="8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i/>
      <sz val="13"/>
      <color indexed="8"/>
      <name val="Calibri"/>
      <family val="2"/>
      <charset val="204"/>
      <scheme val="minor"/>
    </font>
    <font>
      <b/>
      <i/>
      <sz val="13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/>
      <u/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46">
    <xf numFmtId="0" fontId="0" fillId="0" borderId="0" xfId="0"/>
    <xf numFmtId="0" fontId="0" fillId="0" borderId="0" xfId="0" applyBorder="1"/>
    <xf numFmtId="0" fontId="3" fillId="0" borderId="0" xfId="0" applyFont="1" applyBorder="1"/>
    <xf numFmtId="164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3" fillId="0" borderId="7" xfId="0" applyFont="1" applyBorder="1"/>
    <xf numFmtId="0" fontId="1" fillId="2" borderId="7" xfId="0" applyFont="1" applyFill="1" applyBorder="1" applyAlignment="1">
      <alignment horizontal="center"/>
    </xf>
    <xf numFmtId="0" fontId="0" fillId="0" borderId="0" xfId="0"/>
    <xf numFmtId="0" fontId="2" fillId="2" borderId="9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2" fontId="7" fillId="3" borderId="9" xfId="0" applyNumberFormat="1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9" fillId="0" borderId="0" xfId="0" applyFont="1" applyBorder="1"/>
    <xf numFmtId="0" fontId="11" fillId="0" borderId="0" xfId="0" applyFont="1" applyBorder="1"/>
    <xf numFmtId="0" fontId="1" fillId="2" borderId="34" xfId="0" applyFont="1" applyFill="1" applyBorder="1" applyAlignment="1">
      <alignment horizontal="center"/>
    </xf>
    <xf numFmtId="0" fontId="0" fillId="0" borderId="33" xfId="0" applyBorder="1"/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" fillId="2" borderId="4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/>
    </xf>
    <xf numFmtId="0" fontId="14" fillId="0" borderId="0" xfId="0" applyFont="1"/>
    <xf numFmtId="0" fontId="17" fillId="0" borderId="0" xfId="0" applyFont="1"/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8" fillId="2" borderId="50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5" borderId="53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" fillId="2" borderId="47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/>
    </xf>
    <xf numFmtId="2" fontId="1" fillId="3" borderId="9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0" fontId="14" fillId="2" borderId="0" xfId="0" applyFont="1" applyFill="1"/>
    <xf numFmtId="0" fontId="9" fillId="2" borderId="0" xfId="0" applyFont="1" applyFill="1"/>
    <xf numFmtId="0" fontId="1" fillId="2" borderId="55" xfId="0" applyFont="1" applyFill="1" applyBorder="1" applyAlignment="1">
      <alignment horizontal="left" vertical="center"/>
    </xf>
    <xf numFmtId="0" fontId="1" fillId="2" borderId="55" xfId="0" applyFont="1" applyFill="1" applyBorder="1" applyAlignment="1">
      <alignment horizontal="center"/>
    </xf>
    <xf numFmtId="0" fontId="1" fillId="3" borderId="55" xfId="0" applyFont="1" applyFill="1" applyBorder="1" applyAlignment="1">
      <alignment horizontal="center"/>
    </xf>
    <xf numFmtId="2" fontId="1" fillId="2" borderId="55" xfId="0" applyNumberFormat="1" applyFont="1" applyFill="1" applyBorder="1" applyAlignment="1">
      <alignment horizontal="center"/>
    </xf>
    <xf numFmtId="2" fontId="1" fillId="3" borderId="55" xfId="0" applyNumberFormat="1" applyFont="1" applyFill="1" applyBorder="1" applyAlignment="1">
      <alignment horizontal="center"/>
    </xf>
    <xf numFmtId="2" fontId="1" fillId="3" borderId="56" xfId="0" applyNumberFormat="1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3" borderId="13" xfId="0" applyFont="1" applyFill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10" fillId="0" borderId="0" xfId="0" applyFont="1"/>
    <xf numFmtId="0" fontId="9" fillId="0" borderId="0" xfId="0" applyFont="1"/>
    <xf numFmtId="0" fontId="1" fillId="2" borderId="2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9" fillId="2" borderId="0" xfId="0" applyFont="1" applyFill="1" applyAlignment="1"/>
    <xf numFmtId="0" fontId="2" fillId="2" borderId="47" xfId="0" applyFont="1" applyFill="1" applyBorder="1" applyAlignment="1">
      <alignment horizontal="center"/>
    </xf>
    <xf numFmtId="0" fontId="1" fillId="0" borderId="47" xfId="0" applyFont="1" applyBorder="1" applyAlignment="1">
      <alignment horizontal="center" vertical="center"/>
    </xf>
    <xf numFmtId="0" fontId="1" fillId="2" borderId="45" xfId="0" applyFont="1" applyFill="1" applyBorder="1" applyAlignment="1">
      <alignment horizontal="center"/>
    </xf>
    <xf numFmtId="0" fontId="1" fillId="2" borderId="5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1" fillId="0" borderId="7" xfId="0" applyFont="1" applyBorder="1" applyAlignment="1">
      <alignment vertical="center"/>
    </xf>
    <xf numFmtId="0" fontId="26" fillId="2" borderId="9" xfId="0" applyFont="1" applyFill="1" applyBorder="1" applyAlignment="1">
      <alignment horizontal="left"/>
    </xf>
    <xf numFmtId="2" fontId="1" fillId="2" borderId="9" xfId="0" applyNumberFormat="1" applyFont="1" applyFill="1" applyBorder="1" applyAlignment="1">
      <alignment horizontal="center" vertical="center"/>
    </xf>
    <xf numFmtId="2" fontId="1" fillId="3" borderId="14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4" fillId="6" borderId="0" xfId="0" applyFont="1" applyFill="1" applyAlignment="1">
      <alignment horizontal="center"/>
    </xf>
    <xf numFmtId="0" fontId="1" fillId="2" borderId="2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textRotation="90"/>
    </xf>
    <xf numFmtId="0" fontId="18" fillId="2" borderId="29" xfId="0" applyFont="1" applyFill="1" applyBorder="1" applyAlignment="1">
      <alignment horizontal="center" vertical="center" textRotation="90"/>
    </xf>
    <xf numFmtId="0" fontId="18" fillId="2" borderId="30" xfId="0" applyFont="1" applyFill="1" applyBorder="1" applyAlignment="1">
      <alignment horizontal="center" vertical="center" textRotation="90"/>
    </xf>
    <xf numFmtId="0" fontId="5" fillId="2" borderId="1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6" borderId="47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49" fontId="16" fillId="2" borderId="24" xfId="1" applyNumberFormat="1" applyFont="1" applyFill="1" applyBorder="1" applyAlignment="1" applyProtection="1">
      <alignment horizontal="center" vertical="center"/>
    </xf>
    <xf numFmtId="49" fontId="16" fillId="2" borderId="45" xfId="1" applyNumberFormat="1" applyFont="1" applyFill="1" applyBorder="1" applyAlignment="1" applyProtection="1">
      <alignment horizontal="center" vertical="center"/>
    </xf>
    <xf numFmtId="49" fontId="16" fillId="2" borderId="49" xfId="1" applyNumberFormat="1" applyFont="1" applyFill="1" applyBorder="1" applyAlignment="1" applyProtection="1">
      <alignment horizontal="center" vertical="center"/>
    </xf>
    <xf numFmtId="49" fontId="16" fillId="2" borderId="16" xfId="1" applyNumberFormat="1" applyFont="1" applyFill="1" applyBorder="1" applyAlignment="1" applyProtection="1">
      <alignment horizontal="center" vertical="center"/>
    </xf>
    <xf numFmtId="49" fontId="16" fillId="2" borderId="42" xfId="1" applyNumberFormat="1" applyFont="1" applyFill="1" applyBorder="1" applyAlignment="1" applyProtection="1">
      <alignment horizontal="center" vertical="center"/>
    </xf>
    <xf numFmtId="49" fontId="16" fillId="2" borderId="15" xfId="1" applyNumberFormat="1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49" fontId="15" fillId="4" borderId="51" xfId="1" applyNumberFormat="1" applyFont="1" applyFill="1" applyBorder="1" applyAlignment="1" applyProtection="1">
      <alignment horizontal="center" vertical="center"/>
    </xf>
    <xf numFmtId="49" fontId="15" fillId="4" borderId="43" xfId="1" applyNumberFormat="1" applyFont="1" applyFill="1" applyBorder="1" applyAlignment="1" applyProtection="1">
      <alignment horizontal="center" vertical="center"/>
    </xf>
    <xf numFmtId="49" fontId="15" fillId="4" borderId="46" xfId="1" applyNumberFormat="1" applyFont="1" applyFill="1" applyBorder="1" applyAlignment="1" applyProtection="1">
      <alignment horizontal="center" vertical="center"/>
    </xf>
    <xf numFmtId="0" fontId="25" fillId="4" borderId="43" xfId="0" applyFont="1" applyFill="1" applyBorder="1" applyAlignment="1">
      <alignment horizontal="center" vertical="center"/>
    </xf>
    <xf numFmtId="0" fontId="25" fillId="4" borderId="4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6" borderId="47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16" fillId="2" borderId="15" xfId="1" applyNumberFormat="1" applyFont="1" applyFill="1" applyBorder="1" applyAlignment="1" applyProtection="1">
      <alignment horizontal="center" vertical="center" wrapText="1"/>
    </xf>
    <xf numFmtId="49" fontId="16" fillId="2" borderId="42" xfId="1" applyNumberFormat="1" applyFont="1" applyFill="1" applyBorder="1" applyAlignment="1" applyProtection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25" fillId="4" borderId="43" xfId="0" applyFont="1" applyFill="1" applyBorder="1" applyAlignment="1">
      <alignment horizontal="center"/>
    </xf>
    <xf numFmtId="0" fontId="25" fillId="4" borderId="4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49" fontId="16" fillId="2" borderId="52" xfId="1" applyNumberFormat="1" applyFont="1" applyFill="1" applyBorder="1" applyAlignment="1" applyProtection="1">
      <alignment horizontal="center" vertical="center"/>
    </xf>
    <xf numFmtId="49" fontId="16" fillId="2" borderId="9" xfId="1" applyNumberFormat="1" applyFont="1" applyFill="1" applyBorder="1" applyAlignment="1" applyProtection="1">
      <alignment horizontal="center" vertical="center"/>
    </xf>
    <xf numFmtId="49" fontId="16" fillId="2" borderId="14" xfId="1" applyNumberFormat="1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>
      <alignment vertical="center" textRotation="90"/>
    </xf>
    <xf numFmtId="0" fontId="2" fillId="2" borderId="29" xfId="0" applyFont="1" applyFill="1" applyBorder="1" applyAlignment="1">
      <alignment vertical="center" textRotation="90"/>
    </xf>
    <xf numFmtId="0" fontId="2" fillId="2" borderId="30" xfId="0" applyFont="1" applyFill="1" applyBorder="1" applyAlignment="1">
      <alignment vertical="center" textRotation="90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8" fillId="3" borderId="19" xfId="0" applyFont="1" applyFill="1" applyBorder="1" applyAlignment="1">
      <alignment vertical="center" textRotation="90"/>
    </xf>
    <xf numFmtId="0" fontId="8" fillId="3" borderId="20" xfId="0" applyFont="1" applyFill="1" applyBorder="1" applyAlignment="1">
      <alignment vertical="center" textRotation="90"/>
    </xf>
    <xf numFmtId="0" fontId="8" fillId="3" borderId="21" xfId="0" applyFont="1" applyFill="1" applyBorder="1" applyAlignment="1">
      <alignment vertical="center" textRotation="90"/>
    </xf>
    <xf numFmtId="0" fontId="2" fillId="3" borderId="2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0" fillId="2" borderId="0" xfId="0" applyFont="1" applyFill="1" applyAlignment="1">
      <alignment horizontal="center" vertical="center"/>
    </xf>
    <xf numFmtId="0" fontId="10" fillId="0" borderId="0" xfId="0" applyFont="1"/>
    <xf numFmtId="0" fontId="9" fillId="0" borderId="0" xfId="0" applyFont="1"/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7" fillId="2" borderId="28" xfId="0" applyFont="1" applyFill="1" applyBorder="1" applyAlignment="1">
      <alignment vertical="center" textRotation="90"/>
    </xf>
    <xf numFmtId="0" fontId="27" fillId="2" borderId="29" xfId="0" applyFont="1" applyFill="1" applyBorder="1" applyAlignment="1">
      <alignment vertical="center" textRotation="90"/>
    </xf>
    <xf numFmtId="0" fontId="27" fillId="2" borderId="30" xfId="0" applyFont="1" applyFill="1" applyBorder="1" applyAlignment="1">
      <alignment vertical="center" textRotation="90"/>
    </xf>
    <xf numFmtId="0" fontId="23" fillId="2" borderId="2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9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3" fillId="2" borderId="33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66"/>
      <color rgb="FF99FF99"/>
      <color rgb="FF99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4"/>
  <sheetViews>
    <sheetView zoomScale="90" zoomScaleNormal="90" workbookViewId="0">
      <selection activeCell="G29" sqref="G29"/>
    </sheetView>
  </sheetViews>
  <sheetFormatPr defaultRowHeight="13.2" x14ac:dyDescent="0.25"/>
  <cols>
    <col min="1" max="1" width="5.44140625" style="48" customWidth="1"/>
    <col min="2" max="2" width="5.6640625" style="49" customWidth="1"/>
    <col min="3" max="3" width="11.44140625" style="48" customWidth="1"/>
    <col min="4" max="4" width="11" style="48" customWidth="1"/>
    <col min="5" max="5" width="15.88671875" style="48" customWidth="1"/>
    <col min="6" max="6" width="12.6640625" style="48" customWidth="1"/>
    <col min="7" max="7" width="10.44140625" style="48" customWidth="1"/>
    <col min="8" max="8" width="12.88671875" style="48" customWidth="1"/>
    <col min="9" max="9" width="13.33203125" style="48" customWidth="1"/>
    <col min="10" max="10" width="14.109375" style="48" customWidth="1"/>
    <col min="11" max="11" width="12.109375" style="48" customWidth="1"/>
    <col min="12" max="12" width="9.109375" style="48"/>
    <col min="13" max="13" width="16" style="48" customWidth="1"/>
    <col min="14" max="14" width="13" style="48" customWidth="1"/>
    <col min="15" max="15" width="12" style="48" customWidth="1"/>
    <col min="16" max="16" width="9.109375" style="111"/>
    <col min="17" max="256" width="9.109375" style="48"/>
    <col min="257" max="257" width="5.44140625" style="48" customWidth="1"/>
    <col min="258" max="258" width="7" style="48" customWidth="1"/>
    <col min="259" max="259" width="11.44140625" style="48" customWidth="1"/>
    <col min="260" max="260" width="11" style="48" customWidth="1"/>
    <col min="261" max="261" width="15" style="48" customWidth="1"/>
    <col min="262" max="263" width="12.6640625" style="48" customWidth="1"/>
    <col min="264" max="264" width="12.88671875" style="48" customWidth="1"/>
    <col min="265" max="265" width="11.44140625" style="48" customWidth="1"/>
    <col min="266" max="266" width="14.109375" style="48" customWidth="1"/>
    <col min="267" max="267" width="7.6640625" style="48" customWidth="1"/>
    <col min="268" max="268" width="9.109375" style="48"/>
    <col min="269" max="269" width="12.109375" style="48" customWidth="1"/>
    <col min="270" max="270" width="22.109375" style="48" customWidth="1"/>
    <col min="271" max="512" width="9.109375" style="48"/>
    <col min="513" max="513" width="5.44140625" style="48" customWidth="1"/>
    <col min="514" max="514" width="7" style="48" customWidth="1"/>
    <col min="515" max="515" width="11.44140625" style="48" customWidth="1"/>
    <col min="516" max="516" width="11" style="48" customWidth="1"/>
    <col min="517" max="517" width="15" style="48" customWidth="1"/>
    <col min="518" max="519" width="12.6640625" style="48" customWidth="1"/>
    <col min="520" max="520" width="12.88671875" style="48" customWidth="1"/>
    <col min="521" max="521" width="11.44140625" style="48" customWidth="1"/>
    <col min="522" max="522" width="14.109375" style="48" customWidth="1"/>
    <col min="523" max="523" width="7.6640625" style="48" customWidth="1"/>
    <col min="524" max="524" width="9.109375" style="48"/>
    <col min="525" max="525" width="12.109375" style="48" customWidth="1"/>
    <col min="526" max="526" width="22.109375" style="48" customWidth="1"/>
    <col min="527" max="768" width="9.109375" style="48"/>
    <col min="769" max="769" width="5.44140625" style="48" customWidth="1"/>
    <col min="770" max="770" width="7" style="48" customWidth="1"/>
    <col min="771" max="771" width="11.44140625" style="48" customWidth="1"/>
    <col min="772" max="772" width="11" style="48" customWidth="1"/>
    <col min="773" max="773" width="15" style="48" customWidth="1"/>
    <col min="774" max="775" width="12.6640625" style="48" customWidth="1"/>
    <col min="776" max="776" width="12.88671875" style="48" customWidth="1"/>
    <col min="777" max="777" width="11.44140625" style="48" customWidth="1"/>
    <col min="778" max="778" width="14.109375" style="48" customWidth="1"/>
    <col min="779" max="779" width="7.6640625" style="48" customWidth="1"/>
    <col min="780" max="780" width="9.109375" style="48"/>
    <col min="781" max="781" width="12.109375" style="48" customWidth="1"/>
    <col min="782" max="782" width="22.109375" style="48" customWidth="1"/>
    <col min="783" max="1024" width="9.109375" style="48"/>
    <col min="1025" max="1025" width="5.44140625" style="48" customWidth="1"/>
    <col min="1026" max="1026" width="7" style="48" customWidth="1"/>
    <col min="1027" max="1027" width="11.44140625" style="48" customWidth="1"/>
    <col min="1028" max="1028" width="11" style="48" customWidth="1"/>
    <col min="1029" max="1029" width="15" style="48" customWidth="1"/>
    <col min="1030" max="1031" width="12.6640625" style="48" customWidth="1"/>
    <col min="1032" max="1032" width="12.88671875" style="48" customWidth="1"/>
    <col min="1033" max="1033" width="11.44140625" style="48" customWidth="1"/>
    <col min="1034" max="1034" width="14.109375" style="48" customWidth="1"/>
    <col min="1035" max="1035" width="7.6640625" style="48" customWidth="1"/>
    <col min="1036" max="1036" width="9.109375" style="48"/>
    <col min="1037" max="1037" width="12.109375" style="48" customWidth="1"/>
    <col min="1038" max="1038" width="22.109375" style="48" customWidth="1"/>
    <col min="1039" max="1280" width="9.109375" style="48"/>
    <col min="1281" max="1281" width="5.44140625" style="48" customWidth="1"/>
    <col min="1282" max="1282" width="7" style="48" customWidth="1"/>
    <col min="1283" max="1283" width="11.44140625" style="48" customWidth="1"/>
    <col min="1284" max="1284" width="11" style="48" customWidth="1"/>
    <col min="1285" max="1285" width="15" style="48" customWidth="1"/>
    <col min="1286" max="1287" width="12.6640625" style="48" customWidth="1"/>
    <col min="1288" max="1288" width="12.88671875" style="48" customWidth="1"/>
    <col min="1289" max="1289" width="11.44140625" style="48" customWidth="1"/>
    <col min="1290" max="1290" width="14.109375" style="48" customWidth="1"/>
    <col min="1291" max="1291" width="7.6640625" style="48" customWidth="1"/>
    <col min="1292" max="1292" width="9.109375" style="48"/>
    <col min="1293" max="1293" width="12.109375" style="48" customWidth="1"/>
    <col min="1294" max="1294" width="22.109375" style="48" customWidth="1"/>
    <col min="1295" max="1536" width="9.109375" style="48"/>
    <col min="1537" max="1537" width="5.44140625" style="48" customWidth="1"/>
    <col min="1538" max="1538" width="7" style="48" customWidth="1"/>
    <col min="1539" max="1539" width="11.44140625" style="48" customWidth="1"/>
    <col min="1540" max="1540" width="11" style="48" customWidth="1"/>
    <col min="1541" max="1541" width="15" style="48" customWidth="1"/>
    <col min="1542" max="1543" width="12.6640625" style="48" customWidth="1"/>
    <col min="1544" max="1544" width="12.88671875" style="48" customWidth="1"/>
    <col min="1545" max="1545" width="11.44140625" style="48" customWidth="1"/>
    <col min="1546" max="1546" width="14.109375" style="48" customWidth="1"/>
    <col min="1547" max="1547" width="7.6640625" style="48" customWidth="1"/>
    <col min="1548" max="1548" width="9.109375" style="48"/>
    <col min="1549" max="1549" width="12.109375" style="48" customWidth="1"/>
    <col min="1550" max="1550" width="22.109375" style="48" customWidth="1"/>
    <col min="1551" max="1792" width="9.109375" style="48"/>
    <col min="1793" max="1793" width="5.44140625" style="48" customWidth="1"/>
    <col min="1794" max="1794" width="7" style="48" customWidth="1"/>
    <col min="1795" max="1795" width="11.44140625" style="48" customWidth="1"/>
    <col min="1796" max="1796" width="11" style="48" customWidth="1"/>
    <col min="1797" max="1797" width="15" style="48" customWidth="1"/>
    <col min="1798" max="1799" width="12.6640625" style="48" customWidth="1"/>
    <col min="1800" max="1800" width="12.88671875" style="48" customWidth="1"/>
    <col min="1801" max="1801" width="11.44140625" style="48" customWidth="1"/>
    <col min="1802" max="1802" width="14.109375" style="48" customWidth="1"/>
    <col min="1803" max="1803" width="7.6640625" style="48" customWidth="1"/>
    <col min="1804" max="1804" width="9.109375" style="48"/>
    <col min="1805" max="1805" width="12.109375" style="48" customWidth="1"/>
    <col min="1806" max="1806" width="22.109375" style="48" customWidth="1"/>
    <col min="1807" max="2048" width="9.109375" style="48"/>
    <col min="2049" max="2049" width="5.44140625" style="48" customWidth="1"/>
    <col min="2050" max="2050" width="7" style="48" customWidth="1"/>
    <col min="2051" max="2051" width="11.44140625" style="48" customWidth="1"/>
    <col min="2052" max="2052" width="11" style="48" customWidth="1"/>
    <col min="2053" max="2053" width="15" style="48" customWidth="1"/>
    <col min="2054" max="2055" width="12.6640625" style="48" customWidth="1"/>
    <col min="2056" max="2056" width="12.88671875" style="48" customWidth="1"/>
    <col min="2057" max="2057" width="11.44140625" style="48" customWidth="1"/>
    <col min="2058" max="2058" width="14.109375" style="48" customWidth="1"/>
    <col min="2059" max="2059" width="7.6640625" style="48" customWidth="1"/>
    <col min="2060" max="2060" width="9.109375" style="48"/>
    <col min="2061" max="2061" width="12.109375" style="48" customWidth="1"/>
    <col min="2062" max="2062" width="22.109375" style="48" customWidth="1"/>
    <col min="2063" max="2304" width="9.109375" style="48"/>
    <col min="2305" max="2305" width="5.44140625" style="48" customWidth="1"/>
    <col min="2306" max="2306" width="7" style="48" customWidth="1"/>
    <col min="2307" max="2307" width="11.44140625" style="48" customWidth="1"/>
    <col min="2308" max="2308" width="11" style="48" customWidth="1"/>
    <col min="2309" max="2309" width="15" style="48" customWidth="1"/>
    <col min="2310" max="2311" width="12.6640625" style="48" customWidth="1"/>
    <col min="2312" max="2312" width="12.88671875" style="48" customWidth="1"/>
    <col min="2313" max="2313" width="11.44140625" style="48" customWidth="1"/>
    <col min="2314" max="2314" width="14.109375" style="48" customWidth="1"/>
    <col min="2315" max="2315" width="7.6640625" style="48" customWidth="1"/>
    <col min="2316" max="2316" width="9.109375" style="48"/>
    <col min="2317" max="2317" width="12.109375" style="48" customWidth="1"/>
    <col min="2318" max="2318" width="22.109375" style="48" customWidth="1"/>
    <col min="2319" max="2560" width="9.109375" style="48"/>
    <col min="2561" max="2561" width="5.44140625" style="48" customWidth="1"/>
    <col min="2562" max="2562" width="7" style="48" customWidth="1"/>
    <col min="2563" max="2563" width="11.44140625" style="48" customWidth="1"/>
    <col min="2564" max="2564" width="11" style="48" customWidth="1"/>
    <col min="2565" max="2565" width="15" style="48" customWidth="1"/>
    <col min="2566" max="2567" width="12.6640625" style="48" customWidth="1"/>
    <col min="2568" max="2568" width="12.88671875" style="48" customWidth="1"/>
    <col min="2569" max="2569" width="11.44140625" style="48" customWidth="1"/>
    <col min="2570" max="2570" width="14.109375" style="48" customWidth="1"/>
    <col min="2571" max="2571" width="7.6640625" style="48" customWidth="1"/>
    <col min="2572" max="2572" width="9.109375" style="48"/>
    <col min="2573" max="2573" width="12.109375" style="48" customWidth="1"/>
    <col min="2574" max="2574" width="22.109375" style="48" customWidth="1"/>
    <col min="2575" max="2816" width="9.109375" style="48"/>
    <col min="2817" max="2817" width="5.44140625" style="48" customWidth="1"/>
    <col min="2818" max="2818" width="7" style="48" customWidth="1"/>
    <col min="2819" max="2819" width="11.44140625" style="48" customWidth="1"/>
    <col min="2820" max="2820" width="11" style="48" customWidth="1"/>
    <col min="2821" max="2821" width="15" style="48" customWidth="1"/>
    <col min="2822" max="2823" width="12.6640625" style="48" customWidth="1"/>
    <col min="2824" max="2824" width="12.88671875" style="48" customWidth="1"/>
    <col min="2825" max="2825" width="11.44140625" style="48" customWidth="1"/>
    <col min="2826" max="2826" width="14.109375" style="48" customWidth="1"/>
    <col min="2827" max="2827" width="7.6640625" style="48" customWidth="1"/>
    <col min="2828" max="2828" width="9.109375" style="48"/>
    <col min="2829" max="2829" width="12.109375" style="48" customWidth="1"/>
    <col min="2830" max="2830" width="22.109375" style="48" customWidth="1"/>
    <col min="2831" max="3072" width="9.109375" style="48"/>
    <col min="3073" max="3073" width="5.44140625" style="48" customWidth="1"/>
    <col min="3074" max="3074" width="7" style="48" customWidth="1"/>
    <col min="3075" max="3075" width="11.44140625" style="48" customWidth="1"/>
    <col min="3076" max="3076" width="11" style="48" customWidth="1"/>
    <col min="3077" max="3077" width="15" style="48" customWidth="1"/>
    <col min="3078" max="3079" width="12.6640625" style="48" customWidth="1"/>
    <col min="3080" max="3080" width="12.88671875" style="48" customWidth="1"/>
    <col min="3081" max="3081" width="11.44140625" style="48" customWidth="1"/>
    <col min="3082" max="3082" width="14.109375" style="48" customWidth="1"/>
    <col min="3083" max="3083" width="7.6640625" style="48" customWidth="1"/>
    <col min="3084" max="3084" width="9.109375" style="48"/>
    <col min="3085" max="3085" width="12.109375" style="48" customWidth="1"/>
    <col min="3086" max="3086" width="22.109375" style="48" customWidth="1"/>
    <col min="3087" max="3328" width="9.109375" style="48"/>
    <col min="3329" max="3329" width="5.44140625" style="48" customWidth="1"/>
    <col min="3330" max="3330" width="7" style="48" customWidth="1"/>
    <col min="3331" max="3331" width="11.44140625" style="48" customWidth="1"/>
    <col min="3332" max="3332" width="11" style="48" customWidth="1"/>
    <col min="3333" max="3333" width="15" style="48" customWidth="1"/>
    <col min="3334" max="3335" width="12.6640625" style="48" customWidth="1"/>
    <col min="3336" max="3336" width="12.88671875" style="48" customWidth="1"/>
    <col min="3337" max="3337" width="11.44140625" style="48" customWidth="1"/>
    <col min="3338" max="3338" width="14.109375" style="48" customWidth="1"/>
    <col min="3339" max="3339" width="7.6640625" style="48" customWidth="1"/>
    <col min="3340" max="3340" width="9.109375" style="48"/>
    <col min="3341" max="3341" width="12.109375" style="48" customWidth="1"/>
    <col min="3342" max="3342" width="22.109375" style="48" customWidth="1"/>
    <col min="3343" max="3584" width="9.109375" style="48"/>
    <col min="3585" max="3585" width="5.44140625" style="48" customWidth="1"/>
    <col min="3586" max="3586" width="7" style="48" customWidth="1"/>
    <col min="3587" max="3587" width="11.44140625" style="48" customWidth="1"/>
    <col min="3588" max="3588" width="11" style="48" customWidth="1"/>
    <col min="3589" max="3589" width="15" style="48" customWidth="1"/>
    <col min="3590" max="3591" width="12.6640625" style="48" customWidth="1"/>
    <col min="3592" max="3592" width="12.88671875" style="48" customWidth="1"/>
    <col min="3593" max="3593" width="11.44140625" style="48" customWidth="1"/>
    <col min="3594" max="3594" width="14.109375" style="48" customWidth="1"/>
    <col min="3595" max="3595" width="7.6640625" style="48" customWidth="1"/>
    <col min="3596" max="3596" width="9.109375" style="48"/>
    <col min="3597" max="3597" width="12.109375" style="48" customWidth="1"/>
    <col min="3598" max="3598" width="22.109375" style="48" customWidth="1"/>
    <col min="3599" max="3840" width="9.109375" style="48"/>
    <col min="3841" max="3841" width="5.44140625" style="48" customWidth="1"/>
    <col min="3842" max="3842" width="7" style="48" customWidth="1"/>
    <col min="3843" max="3843" width="11.44140625" style="48" customWidth="1"/>
    <col min="3844" max="3844" width="11" style="48" customWidth="1"/>
    <col min="3845" max="3845" width="15" style="48" customWidth="1"/>
    <col min="3846" max="3847" width="12.6640625" style="48" customWidth="1"/>
    <col min="3848" max="3848" width="12.88671875" style="48" customWidth="1"/>
    <col min="3849" max="3849" width="11.44140625" style="48" customWidth="1"/>
    <col min="3850" max="3850" width="14.109375" style="48" customWidth="1"/>
    <col min="3851" max="3851" width="7.6640625" style="48" customWidth="1"/>
    <col min="3852" max="3852" width="9.109375" style="48"/>
    <col min="3853" max="3853" width="12.109375" style="48" customWidth="1"/>
    <col min="3854" max="3854" width="22.109375" style="48" customWidth="1"/>
    <col min="3855" max="4096" width="9.109375" style="48"/>
    <col min="4097" max="4097" width="5.44140625" style="48" customWidth="1"/>
    <col min="4098" max="4098" width="7" style="48" customWidth="1"/>
    <col min="4099" max="4099" width="11.44140625" style="48" customWidth="1"/>
    <col min="4100" max="4100" width="11" style="48" customWidth="1"/>
    <col min="4101" max="4101" width="15" style="48" customWidth="1"/>
    <col min="4102" max="4103" width="12.6640625" style="48" customWidth="1"/>
    <col min="4104" max="4104" width="12.88671875" style="48" customWidth="1"/>
    <col min="4105" max="4105" width="11.44140625" style="48" customWidth="1"/>
    <col min="4106" max="4106" width="14.109375" style="48" customWidth="1"/>
    <col min="4107" max="4107" width="7.6640625" style="48" customWidth="1"/>
    <col min="4108" max="4108" width="9.109375" style="48"/>
    <col min="4109" max="4109" width="12.109375" style="48" customWidth="1"/>
    <col min="4110" max="4110" width="22.109375" style="48" customWidth="1"/>
    <col min="4111" max="4352" width="9.109375" style="48"/>
    <col min="4353" max="4353" width="5.44140625" style="48" customWidth="1"/>
    <col min="4354" max="4354" width="7" style="48" customWidth="1"/>
    <col min="4355" max="4355" width="11.44140625" style="48" customWidth="1"/>
    <col min="4356" max="4356" width="11" style="48" customWidth="1"/>
    <col min="4357" max="4357" width="15" style="48" customWidth="1"/>
    <col min="4358" max="4359" width="12.6640625" style="48" customWidth="1"/>
    <col min="4360" max="4360" width="12.88671875" style="48" customWidth="1"/>
    <col min="4361" max="4361" width="11.44140625" style="48" customWidth="1"/>
    <col min="4362" max="4362" width="14.109375" style="48" customWidth="1"/>
    <col min="4363" max="4363" width="7.6640625" style="48" customWidth="1"/>
    <col min="4364" max="4364" width="9.109375" style="48"/>
    <col min="4365" max="4365" width="12.109375" style="48" customWidth="1"/>
    <col min="4366" max="4366" width="22.109375" style="48" customWidth="1"/>
    <col min="4367" max="4608" width="9.109375" style="48"/>
    <col min="4609" max="4609" width="5.44140625" style="48" customWidth="1"/>
    <col min="4610" max="4610" width="7" style="48" customWidth="1"/>
    <col min="4611" max="4611" width="11.44140625" style="48" customWidth="1"/>
    <col min="4612" max="4612" width="11" style="48" customWidth="1"/>
    <col min="4613" max="4613" width="15" style="48" customWidth="1"/>
    <col min="4614" max="4615" width="12.6640625" style="48" customWidth="1"/>
    <col min="4616" max="4616" width="12.88671875" style="48" customWidth="1"/>
    <col min="4617" max="4617" width="11.44140625" style="48" customWidth="1"/>
    <col min="4618" max="4618" width="14.109375" style="48" customWidth="1"/>
    <col min="4619" max="4619" width="7.6640625" style="48" customWidth="1"/>
    <col min="4620" max="4620" width="9.109375" style="48"/>
    <col min="4621" max="4621" width="12.109375" style="48" customWidth="1"/>
    <col min="4622" max="4622" width="22.109375" style="48" customWidth="1"/>
    <col min="4623" max="4864" width="9.109375" style="48"/>
    <col min="4865" max="4865" width="5.44140625" style="48" customWidth="1"/>
    <col min="4866" max="4866" width="7" style="48" customWidth="1"/>
    <col min="4867" max="4867" width="11.44140625" style="48" customWidth="1"/>
    <col min="4868" max="4868" width="11" style="48" customWidth="1"/>
    <col min="4869" max="4869" width="15" style="48" customWidth="1"/>
    <col min="4870" max="4871" width="12.6640625" style="48" customWidth="1"/>
    <col min="4872" max="4872" width="12.88671875" style="48" customWidth="1"/>
    <col min="4873" max="4873" width="11.44140625" style="48" customWidth="1"/>
    <col min="4874" max="4874" width="14.109375" style="48" customWidth="1"/>
    <col min="4875" max="4875" width="7.6640625" style="48" customWidth="1"/>
    <col min="4876" max="4876" width="9.109375" style="48"/>
    <col min="4877" max="4877" width="12.109375" style="48" customWidth="1"/>
    <col min="4878" max="4878" width="22.109375" style="48" customWidth="1"/>
    <col min="4879" max="5120" width="9.109375" style="48"/>
    <col min="5121" max="5121" width="5.44140625" style="48" customWidth="1"/>
    <col min="5122" max="5122" width="7" style="48" customWidth="1"/>
    <col min="5123" max="5123" width="11.44140625" style="48" customWidth="1"/>
    <col min="5124" max="5124" width="11" style="48" customWidth="1"/>
    <col min="5125" max="5125" width="15" style="48" customWidth="1"/>
    <col min="5126" max="5127" width="12.6640625" style="48" customWidth="1"/>
    <col min="5128" max="5128" width="12.88671875" style="48" customWidth="1"/>
    <col min="5129" max="5129" width="11.44140625" style="48" customWidth="1"/>
    <col min="5130" max="5130" width="14.109375" style="48" customWidth="1"/>
    <col min="5131" max="5131" width="7.6640625" style="48" customWidth="1"/>
    <col min="5132" max="5132" width="9.109375" style="48"/>
    <col min="5133" max="5133" width="12.109375" style="48" customWidth="1"/>
    <col min="5134" max="5134" width="22.109375" style="48" customWidth="1"/>
    <col min="5135" max="5376" width="9.109375" style="48"/>
    <col min="5377" max="5377" width="5.44140625" style="48" customWidth="1"/>
    <col min="5378" max="5378" width="7" style="48" customWidth="1"/>
    <col min="5379" max="5379" width="11.44140625" style="48" customWidth="1"/>
    <col min="5380" max="5380" width="11" style="48" customWidth="1"/>
    <col min="5381" max="5381" width="15" style="48" customWidth="1"/>
    <col min="5382" max="5383" width="12.6640625" style="48" customWidth="1"/>
    <col min="5384" max="5384" width="12.88671875" style="48" customWidth="1"/>
    <col min="5385" max="5385" width="11.44140625" style="48" customWidth="1"/>
    <col min="5386" max="5386" width="14.109375" style="48" customWidth="1"/>
    <col min="5387" max="5387" width="7.6640625" style="48" customWidth="1"/>
    <col min="5388" max="5388" width="9.109375" style="48"/>
    <col min="5389" max="5389" width="12.109375" style="48" customWidth="1"/>
    <col min="5390" max="5390" width="22.109375" style="48" customWidth="1"/>
    <col min="5391" max="5632" width="9.109375" style="48"/>
    <col min="5633" max="5633" width="5.44140625" style="48" customWidth="1"/>
    <col min="5634" max="5634" width="7" style="48" customWidth="1"/>
    <col min="5635" max="5635" width="11.44140625" style="48" customWidth="1"/>
    <col min="5636" max="5636" width="11" style="48" customWidth="1"/>
    <col min="5637" max="5637" width="15" style="48" customWidth="1"/>
    <col min="5638" max="5639" width="12.6640625" style="48" customWidth="1"/>
    <col min="5640" max="5640" width="12.88671875" style="48" customWidth="1"/>
    <col min="5641" max="5641" width="11.44140625" style="48" customWidth="1"/>
    <col min="5642" max="5642" width="14.109375" style="48" customWidth="1"/>
    <col min="5643" max="5643" width="7.6640625" style="48" customWidth="1"/>
    <col min="5644" max="5644" width="9.109375" style="48"/>
    <col min="5645" max="5645" width="12.109375" style="48" customWidth="1"/>
    <col min="5646" max="5646" width="22.109375" style="48" customWidth="1"/>
    <col min="5647" max="5888" width="9.109375" style="48"/>
    <col min="5889" max="5889" width="5.44140625" style="48" customWidth="1"/>
    <col min="5890" max="5890" width="7" style="48" customWidth="1"/>
    <col min="5891" max="5891" width="11.44140625" style="48" customWidth="1"/>
    <col min="5892" max="5892" width="11" style="48" customWidth="1"/>
    <col min="5893" max="5893" width="15" style="48" customWidth="1"/>
    <col min="5894" max="5895" width="12.6640625" style="48" customWidth="1"/>
    <col min="5896" max="5896" width="12.88671875" style="48" customWidth="1"/>
    <col min="5897" max="5897" width="11.44140625" style="48" customWidth="1"/>
    <col min="5898" max="5898" width="14.109375" style="48" customWidth="1"/>
    <col min="5899" max="5899" width="7.6640625" style="48" customWidth="1"/>
    <col min="5900" max="5900" width="9.109375" style="48"/>
    <col min="5901" max="5901" width="12.109375" style="48" customWidth="1"/>
    <col min="5902" max="5902" width="22.109375" style="48" customWidth="1"/>
    <col min="5903" max="6144" width="9.109375" style="48"/>
    <col min="6145" max="6145" width="5.44140625" style="48" customWidth="1"/>
    <col min="6146" max="6146" width="7" style="48" customWidth="1"/>
    <col min="6147" max="6147" width="11.44140625" style="48" customWidth="1"/>
    <col min="6148" max="6148" width="11" style="48" customWidth="1"/>
    <col min="6149" max="6149" width="15" style="48" customWidth="1"/>
    <col min="6150" max="6151" width="12.6640625" style="48" customWidth="1"/>
    <col min="6152" max="6152" width="12.88671875" style="48" customWidth="1"/>
    <col min="6153" max="6153" width="11.44140625" style="48" customWidth="1"/>
    <col min="6154" max="6154" width="14.109375" style="48" customWidth="1"/>
    <col min="6155" max="6155" width="7.6640625" style="48" customWidth="1"/>
    <col min="6156" max="6156" width="9.109375" style="48"/>
    <col min="6157" max="6157" width="12.109375" style="48" customWidth="1"/>
    <col min="6158" max="6158" width="22.109375" style="48" customWidth="1"/>
    <col min="6159" max="6400" width="9.109375" style="48"/>
    <col min="6401" max="6401" width="5.44140625" style="48" customWidth="1"/>
    <col min="6402" max="6402" width="7" style="48" customWidth="1"/>
    <col min="6403" max="6403" width="11.44140625" style="48" customWidth="1"/>
    <col min="6404" max="6404" width="11" style="48" customWidth="1"/>
    <col min="6405" max="6405" width="15" style="48" customWidth="1"/>
    <col min="6406" max="6407" width="12.6640625" style="48" customWidth="1"/>
    <col min="6408" max="6408" width="12.88671875" style="48" customWidth="1"/>
    <col min="6409" max="6409" width="11.44140625" style="48" customWidth="1"/>
    <col min="6410" max="6410" width="14.109375" style="48" customWidth="1"/>
    <col min="6411" max="6411" width="7.6640625" style="48" customWidth="1"/>
    <col min="6412" max="6412" width="9.109375" style="48"/>
    <col min="6413" max="6413" width="12.109375" style="48" customWidth="1"/>
    <col min="6414" max="6414" width="22.109375" style="48" customWidth="1"/>
    <col min="6415" max="6656" width="9.109375" style="48"/>
    <col min="6657" max="6657" width="5.44140625" style="48" customWidth="1"/>
    <col min="6658" max="6658" width="7" style="48" customWidth="1"/>
    <col min="6659" max="6659" width="11.44140625" style="48" customWidth="1"/>
    <col min="6660" max="6660" width="11" style="48" customWidth="1"/>
    <col min="6661" max="6661" width="15" style="48" customWidth="1"/>
    <col min="6662" max="6663" width="12.6640625" style="48" customWidth="1"/>
    <col min="6664" max="6664" width="12.88671875" style="48" customWidth="1"/>
    <col min="6665" max="6665" width="11.44140625" style="48" customWidth="1"/>
    <col min="6666" max="6666" width="14.109375" style="48" customWidth="1"/>
    <col min="6667" max="6667" width="7.6640625" style="48" customWidth="1"/>
    <col min="6668" max="6668" width="9.109375" style="48"/>
    <col min="6669" max="6669" width="12.109375" style="48" customWidth="1"/>
    <col min="6670" max="6670" width="22.109375" style="48" customWidth="1"/>
    <col min="6671" max="6912" width="9.109375" style="48"/>
    <col min="6913" max="6913" width="5.44140625" style="48" customWidth="1"/>
    <col min="6914" max="6914" width="7" style="48" customWidth="1"/>
    <col min="6915" max="6915" width="11.44140625" style="48" customWidth="1"/>
    <col min="6916" max="6916" width="11" style="48" customWidth="1"/>
    <col min="6917" max="6917" width="15" style="48" customWidth="1"/>
    <col min="6918" max="6919" width="12.6640625" style="48" customWidth="1"/>
    <col min="6920" max="6920" width="12.88671875" style="48" customWidth="1"/>
    <col min="6921" max="6921" width="11.44140625" style="48" customWidth="1"/>
    <col min="6922" max="6922" width="14.109375" style="48" customWidth="1"/>
    <col min="6923" max="6923" width="7.6640625" style="48" customWidth="1"/>
    <col min="6924" max="6924" width="9.109375" style="48"/>
    <col min="6925" max="6925" width="12.109375" style="48" customWidth="1"/>
    <col min="6926" max="6926" width="22.109375" style="48" customWidth="1"/>
    <col min="6927" max="7168" width="9.109375" style="48"/>
    <col min="7169" max="7169" width="5.44140625" style="48" customWidth="1"/>
    <col min="7170" max="7170" width="7" style="48" customWidth="1"/>
    <col min="7171" max="7171" width="11.44140625" style="48" customWidth="1"/>
    <col min="7172" max="7172" width="11" style="48" customWidth="1"/>
    <col min="7173" max="7173" width="15" style="48" customWidth="1"/>
    <col min="7174" max="7175" width="12.6640625" style="48" customWidth="1"/>
    <col min="7176" max="7176" width="12.88671875" style="48" customWidth="1"/>
    <col min="7177" max="7177" width="11.44140625" style="48" customWidth="1"/>
    <col min="7178" max="7178" width="14.109375" style="48" customWidth="1"/>
    <col min="7179" max="7179" width="7.6640625" style="48" customWidth="1"/>
    <col min="7180" max="7180" width="9.109375" style="48"/>
    <col min="7181" max="7181" width="12.109375" style="48" customWidth="1"/>
    <col min="7182" max="7182" width="22.109375" style="48" customWidth="1"/>
    <col min="7183" max="7424" width="9.109375" style="48"/>
    <col min="7425" max="7425" width="5.44140625" style="48" customWidth="1"/>
    <col min="7426" max="7426" width="7" style="48" customWidth="1"/>
    <col min="7427" max="7427" width="11.44140625" style="48" customWidth="1"/>
    <col min="7428" max="7428" width="11" style="48" customWidth="1"/>
    <col min="7429" max="7429" width="15" style="48" customWidth="1"/>
    <col min="7430" max="7431" width="12.6640625" style="48" customWidth="1"/>
    <col min="7432" max="7432" width="12.88671875" style="48" customWidth="1"/>
    <col min="7433" max="7433" width="11.44140625" style="48" customWidth="1"/>
    <col min="7434" max="7434" width="14.109375" style="48" customWidth="1"/>
    <col min="7435" max="7435" width="7.6640625" style="48" customWidth="1"/>
    <col min="7436" max="7436" width="9.109375" style="48"/>
    <col min="7437" max="7437" width="12.109375" style="48" customWidth="1"/>
    <col min="7438" max="7438" width="22.109375" style="48" customWidth="1"/>
    <col min="7439" max="7680" width="9.109375" style="48"/>
    <col min="7681" max="7681" width="5.44140625" style="48" customWidth="1"/>
    <col min="7682" max="7682" width="7" style="48" customWidth="1"/>
    <col min="7683" max="7683" width="11.44140625" style="48" customWidth="1"/>
    <col min="7684" max="7684" width="11" style="48" customWidth="1"/>
    <col min="7685" max="7685" width="15" style="48" customWidth="1"/>
    <col min="7686" max="7687" width="12.6640625" style="48" customWidth="1"/>
    <col min="7688" max="7688" width="12.88671875" style="48" customWidth="1"/>
    <col min="7689" max="7689" width="11.44140625" style="48" customWidth="1"/>
    <col min="7690" max="7690" width="14.109375" style="48" customWidth="1"/>
    <col min="7691" max="7691" width="7.6640625" style="48" customWidth="1"/>
    <col min="7692" max="7692" width="9.109375" style="48"/>
    <col min="7693" max="7693" width="12.109375" style="48" customWidth="1"/>
    <col min="7694" max="7694" width="22.109375" style="48" customWidth="1"/>
    <col min="7695" max="7936" width="9.109375" style="48"/>
    <col min="7937" max="7937" width="5.44140625" style="48" customWidth="1"/>
    <col min="7938" max="7938" width="7" style="48" customWidth="1"/>
    <col min="7939" max="7939" width="11.44140625" style="48" customWidth="1"/>
    <col min="7940" max="7940" width="11" style="48" customWidth="1"/>
    <col min="7941" max="7941" width="15" style="48" customWidth="1"/>
    <col min="7942" max="7943" width="12.6640625" style="48" customWidth="1"/>
    <col min="7944" max="7944" width="12.88671875" style="48" customWidth="1"/>
    <col min="7945" max="7945" width="11.44140625" style="48" customWidth="1"/>
    <col min="7946" max="7946" width="14.109375" style="48" customWidth="1"/>
    <col min="7947" max="7947" width="7.6640625" style="48" customWidth="1"/>
    <col min="7948" max="7948" width="9.109375" style="48"/>
    <col min="7949" max="7949" width="12.109375" style="48" customWidth="1"/>
    <col min="7950" max="7950" width="22.109375" style="48" customWidth="1"/>
    <col min="7951" max="8192" width="9.109375" style="48"/>
    <col min="8193" max="8193" width="5.44140625" style="48" customWidth="1"/>
    <col min="8194" max="8194" width="7" style="48" customWidth="1"/>
    <col min="8195" max="8195" width="11.44140625" style="48" customWidth="1"/>
    <col min="8196" max="8196" width="11" style="48" customWidth="1"/>
    <col min="8197" max="8197" width="15" style="48" customWidth="1"/>
    <col min="8198" max="8199" width="12.6640625" style="48" customWidth="1"/>
    <col min="8200" max="8200" width="12.88671875" style="48" customWidth="1"/>
    <col min="8201" max="8201" width="11.44140625" style="48" customWidth="1"/>
    <col min="8202" max="8202" width="14.109375" style="48" customWidth="1"/>
    <col min="8203" max="8203" width="7.6640625" style="48" customWidth="1"/>
    <col min="8204" max="8204" width="9.109375" style="48"/>
    <col min="8205" max="8205" width="12.109375" style="48" customWidth="1"/>
    <col min="8206" max="8206" width="22.109375" style="48" customWidth="1"/>
    <col min="8207" max="8448" width="9.109375" style="48"/>
    <col min="8449" max="8449" width="5.44140625" style="48" customWidth="1"/>
    <col min="8450" max="8450" width="7" style="48" customWidth="1"/>
    <col min="8451" max="8451" width="11.44140625" style="48" customWidth="1"/>
    <col min="8452" max="8452" width="11" style="48" customWidth="1"/>
    <col min="8453" max="8453" width="15" style="48" customWidth="1"/>
    <col min="8454" max="8455" width="12.6640625" style="48" customWidth="1"/>
    <col min="8456" max="8456" width="12.88671875" style="48" customWidth="1"/>
    <col min="8457" max="8457" width="11.44140625" style="48" customWidth="1"/>
    <col min="8458" max="8458" width="14.109375" style="48" customWidth="1"/>
    <col min="8459" max="8459" width="7.6640625" style="48" customWidth="1"/>
    <col min="8460" max="8460" width="9.109375" style="48"/>
    <col min="8461" max="8461" width="12.109375" style="48" customWidth="1"/>
    <col min="8462" max="8462" width="22.109375" style="48" customWidth="1"/>
    <col min="8463" max="8704" width="9.109375" style="48"/>
    <col min="8705" max="8705" width="5.44140625" style="48" customWidth="1"/>
    <col min="8706" max="8706" width="7" style="48" customWidth="1"/>
    <col min="8707" max="8707" width="11.44140625" style="48" customWidth="1"/>
    <col min="8708" max="8708" width="11" style="48" customWidth="1"/>
    <col min="8709" max="8709" width="15" style="48" customWidth="1"/>
    <col min="8710" max="8711" width="12.6640625" style="48" customWidth="1"/>
    <col min="8712" max="8712" width="12.88671875" style="48" customWidth="1"/>
    <col min="8713" max="8713" width="11.44140625" style="48" customWidth="1"/>
    <col min="8714" max="8714" width="14.109375" style="48" customWidth="1"/>
    <col min="8715" max="8715" width="7.6640625" style="48" customWidth="1"/>
    <col min="8716" max="8716" width="9.109375" style="48"/>
    <col min="8717" max="8717" width="12.109375" style="48" customWidth="1"/>
    <col min="8718" max="8718" width="22.109375" style="48" customWidth="1"/>
    <col min="8719" max="8960" width="9.109375" style="48"/>
    <col min="8961" max="8961" width="5.44140625" style="48" customWidth="1"/>
    <col min="8962" max="8962" width="7" style="48" customWidth="1"/>
    <col min="8963" max="8963" width="11.44140625" style="48" customWidth="1"/>
    <col min="8964" max="8964" width="11" style="48" customWidth="1"/>
    <col min="8965" max="8965" width="15" style="48" customWidth="1"/>
    <col min="8966" max="8967" width="12.6640625" style="48" customWidth="1"/>
    <col min="8968" max="8968" width="12.88671875" style="48" customWidth="1"/>
    <col min="8969" max="8969" width="11.44140625" style="48" customWidth="1"/>
    <col min="8970" max="8970" width="14.109375" style="48" customWidth="1"/>
    <col min="8971" max="8971" width="7.6640625" style="48" customWidth="1"/>
    <col min="8972" max="8972" width="9.109375" style="48"/>
    <col min="8973" max="8973" width="12.109375" style="48" customWidth="1"/>
    <col min="8974" max="8974" width="22.109375" style="48" customWidth="1"/>
    <col min="8975" max="9216" width="9.109375" style="48"/>
    <col min="9217" max="9217" width="5.44140625" style="48" customWidth="1"/>
    <col min="9218" max="9218" width="7" style="48" customWidth="1"/>
    <col min="9219" max="9219" width="11.44140625" style="48" customWidth="1"/>
    <col min="9220" max="9220" width="11" style="48" customWidth="1"/>
    <col min="9221" max="9221" width="15" style="48" customWidth="1"/>
    <col min="9222" max="9223" width="12.6640625" style="48" customWidth="1"/>
    <col min="9224" max="9224" width="12.88671875" style="48" customWidth="1"/>
    <col min="9225" max="9225" width="11.44140625" style="48" customWidth="1"/>
    <col min="9226" max="9226" width="14.109375" style="48" customWidth="1"/>
    <col min="9227" max="9227" width="7.6640625" style="48" customWidth="1"/>
    <col min="9228" max="9228" width="9.109375" style="48"/>
    <col min="9229" max="9229" width="12.109375" style="48" customWidth="1"/>
    <col min="9230" max="9230" width="22.109375" style="48" customWidth="1"/>
    <col min="9231" max="9472" width="9.109375" style="48"/>
    <col min="9473" max="9473" width="5.44140625" style="48" customWidth="1"/>
    <col min="9474" max="9474" width="7" style="48" customWidth="1"/>
    <col min="9475" max="9475" width="11.44140625" style="48" customWidth="1"/>
    <col min="9476" max="9476" width="11" style="48" customWidth="1"/>
    <col min="9477" max="9477" width="15" style="48" customWidth="1"/>
    <col min="9478" max="9479" width="12.6640625" style="48" customWidth="1"/>
    <col min="9480" max="9480" width="12.88671875" style="48" customWidth="1"/>
    <col min="9481" max="9481" width="11.44140625" style="48" customWidth="1"/>
    <col min="9482" max="9482" width="14.109375" style="48" customWidth="1"/>
    <col min="9483" max="9483" width="7.6640625" style="48" customWidth="1"/>
    <col min="9484" max="9484" width="9.109375" style="48"/>
    <col min="9485" max="9485" width="12.109375" style="48" customWidth="1"/>
    <col min="9486" max="9486" width="22.109375" style="48" customWidth="1"/>
    <col min="9487" max="9728" width="9.109375" style="48"/>
    <col min="9729" max="9729" width="5.44140625" style="48" customWidth="1"/>
    <col min="9730" max="9730" width="7" style="48" customWidth="1"/>
    <col min="9731" max="9731" width="11.44140625" style="48" customWidth="1"/>
    <col min="9732" max="9732" width="11" style="48" customWidth="1"/>
    <col min="9733" max="9733" width="15" style="48" customWidth="1"/>
    <col min="9734" max="9735" width="12.6640625" style="48" customWidth="1"/>
    <col min="9736" max="9736" width="12.88671875" style="48" customWidth="1"/>
    <col min="9737" max="9737" width="11.44140625" style="48" customWidth="1"/>
    <col min="9738" max="9738" width="14.109375" style="48" customWidth="1"/>
    <col min="9739" max="9739" width="7.6640625" style="48" customWidth="1"/>
    <col min="9740" max="9740" width="9.109375" style="48"/>
    <col min="9741" max="9741" width="12.109375" style="48" customWidth="1"/>
    <col min="9742" max="9742" width="22.109375" style="48" customWidth="1"/>
    <col min="9743" max="9984" width="9.109375" style="48"/>
    <col min="9985" max="9985" width="5.44140625" style="48" customWidth="1"/>
    <col min="9986" max="9986" width="7" style="48" customWidth="1"/>
    <col min="9987" max="9987" width="11.44140625" style="48" customWidth="1"/>
    <col min="9988" max="9988" width="11" style="48" customWidth="1"/>
    <col min="9989" max="9989" width="15" style="48" customWidth="1"/>
    <col min="9990" max="9991" width="12.6640625" style="48" customWidth="1"/>
    <col min="9992" max="9992" width="12.88671875" style="48" customWidth="1"/>
    <col min="9993" max="9993" width="11.44140625" style="48" customWidth="1"/>
    <col min="9994" max="9994" width="14.109375" style="48" customWidth="1"/>
    <col min="9995" max="9995" width="7.6640625" style="48" customWidth="1"/>
    <col min="9996" max="9996" width="9.109375" style="48"/>
    <col min="9997" max="9997" width="12.109375" style="48" customWidth="1"/>
    <col min="9998" max="9998" width="22.109375" style="48" customWidth="1"/>
    <col min="9999" max="10240" width="9.109375" style="48"/>
    <col min="10241" max="10241" width="5.44140625" style="48" customWidth="1"/>
    <col min="10242" max="10242" width="7" style="48" customWidth="1"/>
    <col min="10243" max="10243" width="11.44140625" style="48" customWidth="1"/>
    <col min="10244" max="10244" width="11" style="48" customWidth="1"/>
    <col min="10245" max="10245" width="15" style="48" customWidth="1"/>
    <col min="10246" max="10247" width="12.6640625" style="48" customWidth="1"/>
    <col min="10248" max="10248" width="12.88671875" style="48" customWidth="1"/>
    <col min="10249" max="10249" width="11.44140625" style="48" customWidth="1"/>
    <col min="10250" max="10250" width="14.109375" style="48" customWidth="1"/>
    <col min="10251" max="10251" width="7.6640625" style="48" customWidth="1"/>
    <col min="10252" max="10252" width="9.109375" style="48"/>
    <col min="10253" max="10253" width="12.109375" style="48" customWidth="1"/>
    <col min="10254" max="10254" width="22.109375" style="48" customWidth="1"/>
    <col min="10255" max="10496" width="9.109375" style="48"/>
    <col min="10497" max="10497" width="5.44140625" style="48" customWidth="1"/>
    <col min="10498" max="10498" width="7" style="48" customWidth="1"/>
    <col min="10499" max="10499" width="11.44140625" style="48" customWidth="1"/>
    <col min="10500" max="10500" width="11" style="48" customWidth="1"/>
    <col min="10501" max="10501" width="15" style="48" customWidth="1"/>
    <col min="10502" max="10503" width="12.6640625" style="48" customWidth="1"/>
    <col min="10504" max="10504" width="12.88671875" style="48" customWidth="1"/>
    <col min="10505" max="10505" width="11.44140625" style="48" customWidth="1"/>
    <col min="10506" max="10506" width="14.109375" style="48" customWidth="1"/>
    <col min="10507" max="10507" width="7.6640625" style="48" customWidth="1"/>
    <col min="10508" max="10508" width="9.109375" style="48"/>
    <col min="10509" max="10509" width="12.109375" style="48" customWidth="1"/>
    <col min="10510" max="10510" width="22.109375" style="48" customWidth="1"/>
    <col min="10511" max="10752" width="9.109375" style="48"/>
    <col min="10753" max="10753" width="5.44140625" style="48" customWidth="1"/>
    <col min="10754" max="10754" width="7" style="48" customWidth="1"/>
    <col min="10755" max="10755" width="11.44140625" style="48" customWidth="1"/>
    <col min="10756" max="10756" width="11" style="48" customWidth="1"/>
    <col min="10757" max="10757" width="15" style="48" customWidth="1"/>
    <col min="10758" max="10759" width="12.6640625" style="48" customWidth="1"/>
    <col min="10760" max="10760" width="12.88671875" style="48" customWidth="1"/>
    <col min="10761" max="10761" width="11.44140625" style="48" customWidth="1"/>
    <col min="10762" max="10762" width="14.109375" style="48" customWidth="1"/>
    <col min="10763" max="10763" width="7.6640625" style="48" customWidth="1"/>
    <col min="10764" max="10764" width="9.109375" style="48"/>
    <col min="10765" max="10765" width="12.109375" style="48" customWidth="1"/>
    <col min="10766" max="10766" width="22.109375" style="48" customWidth="1"/>
    <col min="10767" max="11008" width="9.109375" style="48"/>
    <col min="11009" max="11009" width="5.44140625" style="48" customWidth="1"/>
    <col min="11010" max="11010" width="7" style="48" customWidth="1"/>
    <col min="11011" max="11011" width="11.44140625" style="48" customWidth="1"/>
    <col min="11012" max="11012" width="11" style="48" customWidth="1"/>
    <col min="11013" max="11013" width="15" style="48" customWidth="1"/>
    <col min="11014" max="11015" width="12.6640625" style="48" customWidth="1"/>
    <col min="11016" max="11016" width="12.88671875" style="48" customWidth="1"/>
    <col min="11017" max="11017" width="11.44140625" style="48" customWidth="1"/>
    <col min="11018" max="11018" width="14.109375" style="48" customWidth="1"/>
    <col min="11019" max="11019" width="7.6640625" style="48" customWidth="1"/>
    <col min="11020" max="11020" width="9.109375" style="48"/>
    <col min="11021" max="11021" width="12.109375" style="48" customWidth="1"/>
    <col min="11022" max="11022" width="22.109375" style="48" customWidth="1"/>
    <col min="11023" max="11264" width="9.109375" style="48"/>
    <col min="11265" max="11265" width="5.44140625" style="48" customWidth="1"/>
    <col min="11266" max="11266" width="7" style="48" customWidth="1"/>
    <col min="11267" max="11267" width="11.44140625" style="48" customWidth="1"/>
    <col min="11268" max="11268" width="11" style="48" customWidth="1"/>
    <col min="11269" max="11269" width="15" style="48" customWidth="1"/>
    <col min="11270" max="11271" width="12.6640625" style="48" customWidth="1"/>
    <col min="11272" max="11272" width="12.88671875" style="48" customWidth="1"/>
    <col min="11273" max="11273" width="11.44140625" style="48" customWidth="1"/>
    <col min="11274" max="11274" width="14.109375" style="48" customWidth="1"/>
    <col min="11275" max="11275" width="7.6640625" style="48" customWidth="1"/>
    <col min="11276" max="11276" width="9.109375" style="48"/>
    <col min="11277" max="11277" width="12.109375" style="48" customWidth="1"/>
    <col min="11278" max="11278" width="22.109375" style="48" customWidth="1"/>
    <col min="11279" max="11520" width="9.109375" style="48"/>
    <col min="11521" max="11521" width="5.44140625" style="48" customWidth="1"/>
    <col min="11522" max="11522" width="7" style="48" customWidth="1"/>
    <col min="11523" max="11523" width="11.44140625" style="48" customWidth="1"/>
    <col min="11524" max="11524" width="11" style="48" customWidth="1"/>
    <col min="11525" max="11525" width="15" style="48" customWidth="1"/>
    <col min="11526" max="11527" width="12.6640625" style="48" customWidth="1"/>
    <col min="11528" max="11528" width="12.88671875" style="48" customWidth="1"/>
    <col min="11529" max="11529" width="11.44140625" style="48" customWidth="1"/>
    <col min="11530" max="11530" width="14.109375" style="48" customWidth="1"/>
    <col min="11531" max="11531" width="7.6640625" style="48" customWidth="1"/>
    <col min="11532" max="11532" width="9.109375" style="48"/>
    <col min="11533" max="11533" width="12.109375" style="48" customWidth="1"/>
    <col min="11534" max="11534" width="22.109375" style="48" customWidth="1"/>
    <col min="11535" max="11776" width="9.109375" style="48"/>
    <col min="11777" max="11777" width="5.44140625" style="48" customWidth="1"/>
    <col min="11778" max="11778" width="7" style="48" customWidth="1"/>
    <col min="11779" max="11779" width="11.44140625" style="48" customWidth="1"/>
    <col min="11780" max="11780" width="11" style="48" customWidth="1"/>
    <col min="11781" max="11781" width="15" style="48" customWidth="1"/>
    <col min="11782" max="11783" width="12.6640625" style="48" customWidth="1"/>
    <col min="11784" max="11784" width="12.88671875" style="48" customWidth="1"/>
    <col min="11785" max="11785" width="11.44140625" style="48" customWidth="1"/>
    <col min="11786" max="11786" width="14.109375" style="48" customWidth="1"/>
    <col min="11787" max="11787" width="7.6640625" style="48" customWidth="1"/>
    <col min="11788" max="11788" width="9.109375" style="48"/>
    <col min="11789" max="11789" width="12.109375" style="48" customWidth="1"/>
    <col min="11790" max="11790" width="22.109375" style="48" customWidth="1"/>
    <col min="11791" max="12032" width="9.109375" style="48"/>
    <col min="12033" max="12033" width="5.44140625" style="48" customWidth="1"/>
    <col min="12034" max="12034" width="7" style="48" customWidth="1"/>
    <col min="12035" max="12035" width="11.44140625" style="48" customWidth="1"/>
    <col min="12036" max="12036" width="11" style="48" customWidth="1"/>
    <col min="12037" max="12037" width="15" style="48" customWidth="1"/>
    <col min="12038" max="12039" width="12.6640625" style="48" customWidth="1"/>
    <col min="12040" max="12040" width="12.88671875" style="48" customWidth="1"/>
    <col min="12041" max="12041" width="11.44140625" style="48" customWidth="1"/>
    <col min="12042" max="12042" width="14.109375" style="48" customWidth="1"/>
    <col min="12043" max="12043" width="7.6640625" style="48" customWidth="1"/>
    <col min="12044" max="12044" width="9.109375" style="48"/>
    <col min="12045" max="12045" width="12.109375" style="48" customWidth="1"/>
    <col min="12046" max="12046" width="22.109375" style="48" customWidth="1"/>
    <col min="12047" max="12288" width="9.109375" style="48"/>
    <col min="12289" max="12289" width="5.44140625" style="48" customWidth="1"/>
    <col min="12290" max="12290" width="7" style="48" customWidth="1"/>
    <col min="12291" max="12291" width="11.44140625" style="48" customWidth="1"/>
    <col min="12292" max="12292" width="11" style="48" customWidth="1"/>
    <col min="12293" max="12293" width="15" style="48" customWidth="1"/>
    <col min="12294" max="12295" width="12.6640625" style="48" customWidth="1"/>
    <col min="12296" max="12296" width="12.88671875" style="48" customWidth="1"/>
    <col min="12297" max="12297" width="11.44140625" style="48" customWidth="1"/>
    <col min="12298" max="12298" width="14.109375" style="48" customWidth="1"/>
    <col min="12299" max="12299" width="7.6640625" style="48" customWidth="1"/>
    <col min="12300" max="12300" width="9.109375" style="48"/>
    <col min="12301" max="12301" width="12.109375" style="48" customWidth="1"/>
    <col min="12302" max="12302" width="22.109375" style="48" customWidth="1"/>
    <col min="12303" max="12544" width="9.109375" style="48"/>
    <col min="12545" max="12545" width="5.44140625" style="48" customWidth="1"/>
    <col min="12546" max="12546" width="7" style="48" customWidth="1"/>
    <col min="12547" max="12547" width="11.44140625" style="48" customWidth="1"/>
    <col min="12548" max="12548" width="11" style="48" customWidth="1"/>
    <col min="12549" max="12549" width="15" style="48" customWidth="1"/>
    <col min="12550" max="12551" width="12.6640625" style="48" customWidth="1"/>
    <col min="12552" max="12552" width="12.88671875" style="48" customWidth="1"/>
    <col min="12553" max="12553" width="11.44140625" style="48" customWidth="1"/>
    <col min="12554" max="12554" width="14.109375" style="48" customWidth="1"/>
    <col min="12555" max="12555" width="7.6640625" style="48" customWidth="1"/>
    <col min="12556" max="12556" width="9.109375" style="48"/>
    <col min="12557" max="12557" width="12.109375" style="48" customWidth="1"/>
    <col min="12558" max="12558" width="22.109375" style="48" customWidth="1"/>
    <col min="12559" max="12800" width="9.109375" style="48"/>
    <col min="12801" max="12801" width="5.44140625" style="48" customWidth="1"/>
    <col min="12802" max="12802" width="7" style="48" customWidth="1"/>
    <col min="12803" max="12803" width="11.44140625" style="48" customWidth="1"/>
    <col min="12804" max="12804" width="11" style="48" customWidth="1"/>
    <col min="12805" max="12805" width="15" style="48" customWidth="1"/>
    <col min="12806" max="12807" width="12.6640625" style="48" customWidth="1"/>
    <col min="12808" max="12808" width="12.88671875" style="48" customWidth="1"/>
    <col min="12809" max="12809" width="11.44140625" style="48" customWidth="1"/>
    <col min="12810" max="12810" width="14.109375" style="48" customWidth="1"/>
    <col min="12811" max="12811" width="7.6640625" style="48" customWidth="1"/>
    <col min="12812" max="12812" width="9.109375" style="48"/>
    <col min="12813" max="12813" width="12.109375" style="48" customWidth="1"/>
    <col min="12814" max="12814" width="22.109375" style="48" customWidth="1"/>
    <col min="12815" max="13056" width="9.109375" style="48"/>
    <col min="13057" max="13057" width="5.44140625" style="48" customWidth="1"/>
    <col min="13058" max="13058" width="7" style="48" customWidth="1"/>
    <col min="13059" max="13059" width="11.44140625" style="48" customWidth="1"/>
    <col min="13060" max="13060" width="11" style="48" customWidth="1"/>
    <col min="13061" max="13061" width="15" style="48" customWidth="1"/>
    <col min="13062" max="13063" width="12.6640625" style="48" customWidth="1"/>
    <col min="13064" max="13064" width="12.88671875" style="48" customWidth="1"/>
    <col min="13065" max="13065" width="11.44140625" style="48" customWidth="1"/>
    <col min="13066" max="13066" width="14.109375" style="48" customWidth="1"/>
    <col min="13067" max="13067" width="7.6640625" style="48" customWidth="1"/>
    <col min="13068" max="13068" width="9.109375" style="48"/>
    <col min="13069" max="13069" width="12.109375" style="48" customWidth="1"/>
    <col min="13070" max="13070" width="22.109375" style="48" customWidth="1"/>
    <col min="13071" max="13312" width="9.109375" style="48"/>
    <col min="13313" max="13313" width="5.44140625" style="48" customWidth="1"/>
    <col min="13314" max="13314" width="7" style="48" customWidth="1"/>
    <col min="13315" max="13315" width="11.44140625" style="48" customWidth="1"/>
    <col min="13316" max="13316" width="11" style="48" customWidth="1"/>
    <col min="13317" max="13317" width="15" style="48" customWidth="1"/>
    <col min="13318" max="13319" width="12.6640625" style="48" customWidth="1"/>
    <col min="13320" max="13320" width="12.88671875" style="48" customWidth="1"/>
    <col min="13321" max="13321" width="11.44140625" style="48" customWidth="1"/>
    <col min="13322" max="13322" width="14.109375" style="48" customWidth="1"/>
    <col min="13323" max="13323" width="7.6640625" style="48" customWidth="1"/>
    <col min="13324" max="13324" width="9.109375" style="48"/>
    <col min="13325" max="13325" width="12.109375" style="48" customWidth="1"/>
    <col min="13326" max="13326" width="22.109375" style="48" customWidth="1"/>
    <col min="13327" max="13568" width="9.109375" style="48"/>
    <col min="13569" max="13569" width="5.44140625" style="48" customWidth="1"/>
    <col min="13570" max="13570" width="7" style="48" customWidth="1"/>
    <col min="13571" max="13571" width="11.44140625" style="48" customWidth="1"/>
    <col min="13572" max="13572" width="11" style="48" customWidth="1"/>
    <col min="13573" max="13573" width="15" style="48" customWidth="1"/>
    <col min="13574" max="13575" width="12.6640625" style="48" customWidth="1"/>
    <col min="13576" max="13576" width="12.88671875" style="48" customWidth="1"/>
    <col min="13577" max="13577" width="11.44140625" style="48" customWidth="1"/>
    <col min="13578" max="13578" width="14.109375" style="48" customWidth="1"/>
    <col min="13579" max="13579" width="7.6640625" style="48" customWidth="1"/>
    <col min="13580" max="13580" width="9.109375" style="48"/>
    <col min="13581" max="13581" width="12.109375" style="48" customWidth="1"/>
    <col min="13582" max="13582" width="22.109375" style="48" customWidth="1"/>
    <col min="13583" max="13824" width="9.109375" style="48"/>
    <col min="13825" max="13825" width="5.44140625" style="48" customWidth="1"/>
    <col min="13826" max="13826" width="7" style="48" customWidth="1"/>
    <col min="13827" max="13827" width="11.44140625" style="48" customWidth="1"/>
    <col min="13828" max="13828" width="11" style="48" customWidth="1"/>
    <col min="13829" max="13829" width="15" style="48" customWidth="1"/>
    <col min="13830" max="13831" width="12.6640625" style="48" customWidth="1"/>
    <col min="13832" max="13832" width="12.88671875" style="48" customWidth="1"/>
    <col min="13833" max="13833" width="11.44140625" style="48" customWidth="1"/>
    <col min="13834" max="13834" width="14.109375" style="48" customWidth="1"/>
    <col min="13835" max="13835" width="7.6640625" style="48" customWidth="1"/>
    <col min="13836" max="13836" width="9.109375" style="48"/>
    <col min="13837" max="13837" width="12.109375" style="48" customWidth="1"/>
    <col min="13838" max="13838" width="22.109375" style="48" customWidth="1"/>
    <col min="13839" max="14080" width="9.109375" style="48"/>
    <col min="14081" max="14081" width="5.44140625" style="48" customWidth="1"/>
    <col min="14082" max="14082" width="7" style="48" customWidth="1"/>
    <col min="14083" max="14083" width="11.44140625" style="48" customWidth="1"/>
    <col min="14084" max="14084" width="11" style="48" customWidth="1"/>
    <col min="14085" max="14085" width="15" style="48" customWidth="1"/>
    <col min="14086" max="14087" width="12.6640625" style="48" customWidth="1"/>
    <col min="14088" max="14088" width="12.88671875" style="48" customWidth="1"/>
    <col min="14089" max="14089" width="11.44140625" style="48" customWidth="1"/>
    <col min="14090" max="14090" width="14.109375" style="48" customWidth="1"/>
    <col min="14091" max="14091" width="7.6640625" style="48" customWidth="1"/>
    <col min="14092" max="14092" width="9.109375" style="48"/>
    <col min="14093" max="14093" width="12.109375" style="48" customWidth="1"/>
    <col min="14094" max="14094" width="22.109375" style="48" customWidth="1"/>
    <col min="14095" max="14336" width="9.109375" style="48"/>
    <col min="14337" max="14337" width="5.44140625" style="48" customWidth="1"/>
    <col min="14338" max="14338" width="7" style="48" customWidth="1"/>
    <col min="14339" max="14339" width="11.44140625" style="48" customWidth="1"/>
    <col min="14340" max="14340" width="11" style="48" customWidth="1"/>
    <col min="14341" max="14341" width="15" style="48" customWidth="1"/>
    <col min="14342" max="14343" width="12.6640625" style="48" customWidth="1"/>
    <col min="14344" max="14344" width="12.88671875" style="48" customWidth="1"/>
    <col min="14345" max="14345" width="11.44140625" style="48" customWidth="1"/>
    <col min="14346" max="14346" width="14.109375" style="48" customWidth="1"/>
    <col min="14347" max="14347" width="7.6640625" style="48" customWidth="1"/>
    <col min="14348" max="14348" width="9.109375" style="48"/>
    <col min="14349" max="14349" width="12.109375" style="48" customWidth="1"/>
    <col min="14350" max="14350" width="22.109375" style="48" customWidth="1"/>
    <col min="14351" max="14592" width="9.109375" style="48"/>
    <col min="14593" max="14593" width="5.44140625" style="48" customWidth="1"/>
    <col min="14594" max="14594" width="7" style="48" customWidth="1"/>
    <col min="14595" max="14595" width="11.44140625" style="48" customWidth="1"/>
    <col min="14596" max="14596" width="11" style="48" customWidth="1"/>
    <col min="14597" max="14597" width="15" style="48" customWidth="1"/>
    <col min="14598" max="14599" width="12.6640625" style="48" customWidth="1"/>
    <col min="14600" max="14600" width="12.88671875" style="48" customWidth="1"/>
    <col min="14601" max="14601" width="11.44140625" style="48" customWidth="1"/>
    <col min="14602" max="14602" width="14.109375" style="48" customWidth="1"/>
    <col min="14603" max="14603" width="7.6640625" style="48" customWidth="1"/>
    <col min="14604" max="14604" width="9.109375" style="48"/>
    <col min="14605" max="14605" width="12.109375" style="48" customWidth="1"/>
    <col min="14606" max="14606" width="22.109375" style="48" customWidth="1"/>
    <col min="14607" max="14848" width="9.109375" style="48"/>
    <col min="14849" max="14849" width="5.44140625" style="48" customWidth="1"/>
    <col min="14850" max="14850" width="7" style="48" customWidth="1"/>
    <col min="14851" max="14851" width="11.44140625" style="48" customWidth="1"/>
    <col min="14852" max="14852" width="11" style="48" customWidth="1"/>
    <col min="14853" max="14853" width="15" style="48" customWidth="1"/>
    <col min="14854" max="14855" width="12.6640625" style="48" customWidth="1"/>
    <col min="14856" max="14856" width="12.88671875" style="48" customWidth="1"/>
    <col min="14857" max="14857" width="11.44140625" style="48" customWidth="1"/>
    <col min="14858" max="14858" width="14.109375" style="48" customWidth="1"/>
    <col min="14859" max="14859" width="7.6640625" style="48" customWidth="1"/>
    <col min="14860" max="14860" width="9.109375" style="48"/>
    <col min="14861" max="14861" width="12.109375" style="48" customWidth="1"/>
    <col min="14862" max="14862" width="22.109375" style="48" customWidth="1"/>
    <col min="14863" max="15104" width="9.109375" style="48"/>
    <col min="15105" max="15105" width="5.44140625" style="48" customWidth="1"/>
    <col min="15106" max="15106" width="7" style="48" customWidth="1"/>
    <col min="15107" max="15107" width="11.44140625" style="48" customWidth="1"/>
    <col min="15108" max="15108" width="11" style="48" customWidth="1"/>
    <col min="15109" max="15109" width="15" style="48" customWidth="1"/>
    <col min="15110" max="15111" width="12.6640625" style="48" customWidth="1"/>
    <col min="15112" max="15112" width="12.88671875" style="48" customWidth="1"/>
    <col min="15113" max="15113" width="11.44140625" style="48" customWidth="1"/>
    <col min="15114" max="15114" width="14.109375" style="48" customWidth="1"/>
    <col min="15115" max="15115" width="7.6640625" style="48" customWidth="1"/>
    <col min="15116" max="15116" width="9.109375" style="48"/>
    <col min="15117" max="15117" width="12.109375" style="48" customWidth="1"/>
    <col min="15118" max="15118" width="22.109375" style="48" customWidth="1"/>
    <col min="15119" max="15360" width="9.109375" style="48"/>
    <col min="15361" max="15361" width="5.44140625" style="48" customWidth="1"/>
    <col min="15362" max="15362" width="7" style="48" customWidth="1"/>
    <col min="15363" max="15363" width="11.44140625" style="48" customWidth="1"/>
    <col min="15364" max="15364" width="11" style="48" customWidth="1"/>
    <col min="15365" max="15365" width="15" style="48" customWidth="1"/>
    <col min="15366" max="15367" width="12.6640625" style="48" customWidth="1"/>
    <col min="15368" max="15368" width="12.88671875" style="48" customWidth="1"/>
    <col min="15369" max="15369" width="11.44140625" style="48" customWidth="1"/>
    <col min="15370" max="15370" width="14.109375" style="48" customWidth="1"/>
    <col min="15371" max="15371" width="7.6640625" style="48" customWidth="1"/>
    <col min="15372" max="15372" width="9.109375" style="48"/>
    <col min="15373" max="15373" width="12.109375" style="48" customWidth="1"/>
    <col min="15374" max="15374" width="22.109375" style="48" customWidth="1"/>
    <col min="15375" max="15616" width="9.109375" style="48"/>
    <col min="15617" max="15617" width="5.44140625" style="48" customWidth="1"/>
    <col min="15618" max="15618" width="7" style="48" customWidth="1"/>
    <col min="15619" max="15619" width="11.44140625" style="48" customWidth="1"/>
    <col min="15620" max="15620" width="11" style="48" customWidth="1"/>
    <col min="15621" max="15621" width="15" style="48" customWidth="1"/>
    <col min="15622" max="15623" width="12.6640625" style="48" customWidth="1"/>
    <col min="15624" max="15624" width="12.88671875" style="48" customWidth="1"/>
    <col min="15625" max="15625" width="11.44140625" style="48" customWidth="1"/>
    <col min="15626" max="15626" width="14.109375" style="48" customWidth="1"/>
    <col min="15627" max="15627" width="7.6640625" style="48" customWidth="1"/>
    <col min="15628" max="15628" width="9.109375" style="48"/>
    <col min="15629" max="15629" width="12.109375" style="48" customWidth="1"/>
    <col min="15630" max="15630" width="22.109375" style="48" customWidth="1"/>
    <col min="15631" max="15872" width="9.109375" style="48"/>
    <col min="15873" max="15873" width="5.44140625" style="48" customWidth="1"/>
    <col min="15874" max="15874" width="7" style="48" customWidth="1"/>
    <col min="15875" max="15875" width="11.44140625" style="48" customWidth="1"/>
    <col min="15876" max="15876" width="11" style="48" customWidth="1"/>
    <col min="15877" max="15877" width="15" style="48" customWidth="1"/>
    <col min="15878" max="15879" width="12.6640625" style="48" customWidth="1"/>
    <col min="15880" max="15880" width="12.88671875" style="48" customWidth="1"/>
    <col min="15881" max="15881" width="11.44140625" style="48" customWidth="1"/>
    <col min="15882" max="15882" width="14.109375" style="48" customWidth="1"/>
    <col min="15883" max="15883" width="7.6640625" style="48" customWidth="1"/>
    <col min="15884" max="15884" width="9.109375" style="48"/>
    <col min="15885" max="15885" width="12.109375" style="48" customWidth="1"/>
    <col min="15886" max="15886" width="22.109375" style="48" customWidth="1"/>
    <col min="15887" max="16128" width="9.109375" style="48"/>
    <col min="16129" max="16129" width="5.44140625" style="48" customWidth="1"/>
    <col min="16130" max="16130" width="7" style="48" customWidth="1"/>
    <col min="16131" max="16131" width="11.44140625" style="48" customWidth="1"/>
    <col min="16132" max="16132" width="11" style="48" customWidth="1"/>
    <col min="16133" max="16133" width="15" style="48" customWidth="1"/>
    <col min="16134" max="16135" width="12.6640625" style="48" customWidth="1"/>
    <col min="16136" max="16136" width="12.88671875" style="48" customWidth="1"/>
    <col min="16137" max="16137" width="11.44140625" style="48" customWidth="1"/>
    <col min="16138" max="16138" width="14.109375" style="48" customWidth="1"/>
    <col min="16139" max="16139" width="7.6640625" style="48" customWidth="1"/>
    <col min="16140" max="16140" width="9.109375" style="48"/>
    <col min="16141" max="16141" width="12.109375" style="48" customWidth="1"/>
    <col min="16142" max="16142" width="22.109375" style="48" customWidth="1"/>
    <col min="16143" max="16384" width="9.109375" style="48"/>
  </cols>
  <sheetData>
    <row r="1" spans="2:16" ht="20.25" customHeight="1" thickBot="1" x14ac:dyDescent="0.25"/>
    <row r="2" spans="2:16" ht="14.4" thickBot="1" x14ac:dyDescent="0.35">
      <c r="B2" s="56" t="s">
        <v>47</v>
      </c>
      <c r="C2" s="58" t="s">
        <v>62</v>
      </c>
      <c r="D2" s="161" t="s">
        <v>124</v>
      </c>
      <c r="E2" s="162"/>
      <c r="F2" s="162" t="s">
        <v>125</v>
      </c>
      <c r="G2" s="162"/>
      <c r="H2" s="162" t="s">
        <v>126</v>
      </c>
      <c r="I2" s="162"/>
      <c r="J2" s="162" t="s">
        <v>127</v>
      </c>
      <c r="K2" s="162"/>
      <c r="L2" s="162" t="s">
        <v>128</v>
      </c>
      <c r="M2" s="163"/>
      <c r="N2" s="180" t="s">
        <v>129</v>
      </c>
      <c r="O2" s="181"/>
    </row>
    <row r="3" spans="2:16" ht="24" customHeight="1" x14ac:dyDescent="0.25">
      <c r="B3" s="135" t="s">
        <v>45</v>
      </c>
      <c r="C3" s="59" t="s">
        <v>63</v>
      </c>
      <c r="D3" s="156"/>
      <c r="E3" s="157"/>
      <c r="F3" s="173"/>
      <c r="G3" s="174"/>
      <c r="H3" s="158"/>
      <c r="I3" s="157"/>
      <c r="J3" s="158"/>
      <c r="K3" s="156"/>
      <c r="L3" s="158"/>
      <c r="M3" s="156"/>
      <c r="N3" s="182"/>
      <c r="O3" s="183"/>
    </row>
    <row r="4" spans="2:16" ht="21.75" customHeight="1" thickBot="1" x14ac:dyDescent="0.3">
      <c r="B4" s="137"/>
      <c r="C4" s="57" t="s">
        <v>64</v>
      </c>
      <c r="D4" s="184"/>
      <c r="E4" s="154"/>
      <c r="F4" s="153"/>
      <c r="G4" s="154"/>
      <c r="H4" s="153"/>
      <c r="I4" s="154"/>
      <c r="J4" s="153"/>
      <c r="K4" s="154"/>
      <c r="L4" s="153"/>
      <c r="M4" s="154"/>
      <c r="N4" s="185"/>
      <c r="O4" s="186"/>
    </row>
    <row r="5" spans="2:16" ht="27" customHeight="1" x14ac:dyDescent="0.25">
      <c r="B5" s="135" t="s">
        <v>44</v>
      </c>
      <c r="C5" s="59" t="s">
        <v>65</v>
      </c>
      <c r="D5" s="175"/>
      <c r="E5" s="132"/>
      <c r="F5" s="132"/>
      <c r="G5" s="132"/>
      <c r="H5" s="132"/>
      <c r="I5" s="132"/>
      <c r="J5" s="132"/>
      <c r="K5" s="176"/>
      <c r="L5" s="132"/>
      <c r="M5" s="176"/>
      <c r="N5" s="132"/>
      <c r="O5" s="133"/>
    </row>
    <row r="6" spans="2:16" ht="24" customHeight="1" x14ac:dyDescent="0.25">
      <c r="B6" s="136"/>
      <c r="C6" s="60" t="s">
        <v>66</v>
      </c>
      <c r="D6" s="134" t="s">
        <v>113</v>
      </c>
      <c r="E6" s="118"/>
      <c r="F6" s="146" t="s">
        <v>123</v>
      </c>
      <c r="G6" s="147"/>
      <c r="H6" s="115" t="s">
        <v>73</v>
      </c>
      <c r="I6" s="115"/>
      <c r="J6" s="115" t="s">
        <v>90</v>
      </c>
      <c r="K6" s="115"/>
      <c r="L6" s="115" t="s">
        <v>117</v>
      </c>
      <c r="M6" s="115"/>
      <c r="N6" s="115" t="s">
        <v>118</v>
      </c>
      <c r="O6" s="116"/>
    </row>
    <row r="7" spans="2:16" ht="25.5" customHeight="1" x14ac:dyDescent="0.25">
      <c r="B7" s="136"/>
      <c r="C7" s="60" t="s">
        <v>67</v>
      </c>
      <c r="D7" s="177" t="s">
        <v>114</v>
      </c>
      <c r="E7" s="130"/>
      <c r="F7" s="149" t="s">
        <v>93</v>
      </c>
      <c r="G7" s="115"/>
      <c r="H7" s="115" t="s">
        <v>116</v>
      </c>
      <c r="I7" s="128"/>
      <c r="J7" s="178" t="s">
        <v>166</v>
      </c>
      <c r="K7" s="179"/>
      <c r="L7" s="151" t="s">
        <v>167</v>
      </c>
      <c r="M7" s="152"/>
      <c r="N7" s="118" t="s">
        <v>114</v>
      </c>
      <c r="O7" s="166"/>
    </row>
    <row r="8" spans="2:16" ht="19.5" customHeight="1" x14ac:dyDescent="0.25">
      <c r="B8" s="136"/>
      <c r="C8" s="60" t="s">
        <v>69</v>
      </c>
      <c r="D8" s="167" t="s">
        <v>115</v>
      </c>
      <c r="E8" s="168"/>
      <c r="F8" s="149" t="s">
        <v>96</v>
      </c>
      <c r="G8" s="115"/>
      <c r="H8" s="128"/>
      <c r="I8" s="128"/>
      <c r="J8" s="149" t="s">
        <v>122</v>
      </c>
      <c r="K8" s="115"/>
      <c r="L8" s="169" t="s">
        <v>88</v>
      </c>
      <c r="M8" s="170"/>
      <c r="N8" s="171"/>
      <c r="O8" s="172"/>
    </row>
    <row r="9" spans="2:16" ht="18" customHeight="1" x14ac:dyDescent="0.25">
      <c r="B9" s="136"/>
      <c r="C9" s="60" t="s">
        <v>70</v>
      </c>
      <c r="D9" s="160"/>
      <c r="E9" s="128"/>
      <c r="F9" s="149"/>
      <c r="G9" s="115"/>
      <c r="H9" s="128" t="s">
        <v>87</v>
      </c>
      <c r="I9" s="128"/>
      <c r="J9" s="149"/>
      <c r="K9" s="115"/>
      <c r="L9" s="118"/>
      <c r="M9" s="118"/>
      <c r="N9" s="149" t="s">
        <v>112</v>
      </c>
      <c r="O9" s="116"/>
    </row>
    <row r="10" spans="2:16" ht="21" customHeight="1" x14ac:dyDescent="0.25">
      <c r="B10" s="136"/>
      <c r="C10" s="61" t="s">
        <v>68</v>
      </c>
      <c r="D10" s="177"/>
      <c r="E10" s="130"/>
      <c r="F10" s="115"/>
      <c r="G10" s="115"/>
      <c r="H10" s="115"/>
      <c r="I10" s="115"/>
      <c r="J10" s="115"/>
      <c r="K10" s="115"/>
      <c r="L10" s="118"/>
      <c r="M10" s="147"/>
      <c r="N10" s="144"/>
      <c r="O10" s="159"/>
    </row>
    <row r="11" spans="2:16" ht="26.25" customHeight="1" thickBot="1" x14ac:dyDescent="0.3">
      <c r="B11" s="137"/>
      <c r="C11" s="57" t="s">
        <v>64</v>
      </c>
      <c r="D11" s="122" t="s">
        <v>71</v>
      </c>
      <c r="E11" s="123"/>
      <c r="F11" s="123" t="s">
        <v>61</v>
      </c>
      <c r="G11" s="123"/>
      <c r="H11" s="123" t="s">
        <v>89</v>
      </c>
      <c r="I11" s="123"/>
      <c r="J11" s="123" t="s">
        <v>72</v>
      </c>
      <c r="K11" s="123"/>
      <c r="L11" s="123" t="s">
        <v>71</v>
      </c>
      <c r="M11" s="123"/>
      <c r="N11" s="124" t="s">
        <v>19</v>
      </c>
      <c r="O11" s="126"/>
    </row>
    <row r="12" spans="2:16" ht="17.25" customHeight="1" thickBot="1" x14ac:dyDescent="0.3">
      <c r="B12" s="56" t="s">
        <v>46</v>
      </c>
      <c r="C12" s="58" t="s">
        <v>62</v>
      </c>
      <c r="D12" s="161" t="s">
        <v>130</v>
      </c>
      <c r="E12" s="162"/>
      <c r="F12" s="162" t="s">
        <v>131</v>
      </c>
      <c r="G12" s="162"/>
      <c r="H12" s="162" t="s">
        <v>132</v>
      </c>
      <c r="I12" s="162"/>
      <c r="J12" s="162" t="s">
        <v>133</v>
      </c>
      <c r="K12" s="162"/>
      <c r="L12" s="162" t="s">
        <v>134</v>
      </c>
      <c r="M12" s="163"/>
      <c r="N12" s="164" t="s">
        <v>135</v>
      </c>
      <c r="O12" s="165"/>
    </row>
    <row r="13" spans="2:16" ht="22.5" customHeight="1" x14ac:dyDescent="0.25">
      <c r="B13" s="135" t="s">
        <v>45</v>
      </c>
      <c r="C13" s="59" t="s">
        <v>63</v>
      </c>
      <c r="D13" s="156"/>
      <c r="E13" s="157"/>
      <c r="F13" s="158"/>
      <c r="G13" s="157"/>
      <c r="H13" s="158"/>
      <c r="I13" s="156"/>
      <c r="J13" s="158"/>
      <c r="K13" s="157"/>
      <c r="L13" s="158"/>
      <c r="M13" s="156"/>
      <c r="N13" s="132"/>
      <c r="O13" s="133"/>
    </row>
    <row r="14" spans="2:16" ht="18.75" customHeight="1" thickBot="1" x14ac:dyDescent="0.3">
      <c r="B14" s="137"/>
      <c r="C14" s="57" t="s">
        <v>64</v>
      </c>
      <c r="D14" s="124"/>
      <c r="E14" s="123"/>
      <c r="F14" s="153"/>
      <c r="G14" s="154"/>
      <c r="H14" s="123"/>
      <c r="I14" s="123"/>
      <c r="J14" s="153"/>
      <c r="K14" s="154"/>
      <c r="L14" s="123"/>
      <c r="M14" s="123"/>
      <c r="N14" s="153"/>
      <c r="O14" s="155"/>
    </row>
    <row r="15" spans="2:16" ht="31.5" customHeight="1" x14ac:dyDescent="0.25">
      <c r="B15" s="135" t="s">
        <v>44</v>
      </c>
      <c r="C15" s="59" t="s">
        <v>65</v>
      </c>
      <c r="D15" s="138"/>
      <c r="E15" s="139"/>
      <c r="F15" s="132"/>
      <c r="G15" s="132"/>
      <c r="H15" s="132"/>
      <c r="I15" s="132"/>
      <c r="J15" s="132"/>
      <c r="K15" s="132"/>
      <c r="L15" s="132"/>
      <c r="M15" s="132"/>
      <c r="N15" s="132"/>
      <c r="O15" s="133"/>
    </row>
    <row r="16" spans="2:16" ht="24" customHeight="1" x14ac:dyDescent="0.25">
      <c r="B16" s="136"/>
      <c r="C16" s="60" t="s">
        <v>66</v>
      </c>
      <c r="D16" s="134" t="s">
        <v>60</v>
      </c>
      <c r="E16" s="118"/>
      <c r="F16" s="118" t="s">
        <v>118</v>
      </c>
      <c r="G16" s="118"/>
      <c r="H16" s="118" t="s">
        <v>120</v>
      </c>
      <c r="I16" s="118"/>
      <c r="J16" s="115" t="s">
        <v>92</v>
      </c>
      <c r="K16" s="115"/>
      <c r="L16" s="115" t="s">
        <v>90</v>
      </c>
      <c r="M16" s="115"/>
      <c r="N16" s="115" t="s">
        <v>117</v>
      </c>
      <c r="O16" s="116"/>
      <c r="P16" s="111">
        <v>39</v>
      </c>
    </row>
    <row r="17" spans="2:17" ht="27.75" customHeight="1" x14ac:dyDescent="0.25">
      <c r="B17" s="136"/>
      <c r="C17" s="60" t="s">
        <v>67</v>
      </c>
      <c r="D17" s="140" t="s">
        <v>158</v>
      </c>
      <c r="E17" s="141"/>
      <c r="F17" s="118"/>
      <c r="G17" s="144"/>
      <c r="H17" s="118" t="s">
        <v>114</v>
      </c>
      <c r="I17" s="118"/>
      <c r="J17" s="115" t="s">
        <v>121</v>
      </c>
      <c r="K17" s="115"/>
      <c r="L17" s="151" t="s">
        <v>116</v>
      </c>
      <c r="M17" s="152"/>
      <c r="N17" s="115"/>
      <c r="O17" s="116"/>
      <c r="P17" s="111">
        <v>15</v>
      </c>
    </row>
    <row r="18" spans="2:17" ht="22.5" customHeight="1" x14ac:dyDescent="0.25">
      <c r="B18" s="136"/>
      <c r="C18" s="60" t="s">
        <v>69</v>
      </c>
      <c r="D18" s="142"/>
      <c r="E18" s="143"/>
      <c r="F18" s="117" t="s">
        <v>119</v>
      </c>
      <c r="G18" s="117"/>
      <c r="H18" s="118" t="s">
        <v>88</v>
      </c>
      <c r="I18" s="118"/>
      <c r="J18" s="115" t="s">
        <v>91</v>
      </c>
      <c r="K18" s="115"/>
      <c r="L18" s="118"/>
      <c r="M18" s="119"/>
      <c r="N18" s="120" t="s">
        <v>168</v>
      </c>
      <c r="O18" s="121"/>
      <c r="P18" s="111">
        <v>58</v>
      </c>
    </row>
    <row r="19" spans="2:17" ht="26.25" customHeight="1" x14ac:dyDescent="0.25">
      <c r="B19" s="136"/>
      <c r="C19" s="60" t="s">
        <v>68</v>
      </c>
      <c r="D19" s="145"/>
      <c r="E19" s="146"/>
      <c r="F19" s="147"/>
      <c r="G19" s="146"/>
      <c r="H19" s="147"/>
      <c r="I19" s="146"/>
      <c r="J19" s="148"/>
      <c r="K19" s="149"/>
      <c r="L19" s="148"/>
      <c r="M19" s="150"/>
      <c r="N19" s="130"/>
      <c r="O19" s="131"/>
    </row>
    <row r="20" spans="2:17" ht="27" customHeight="1" x14ac:dyDescent="0.25">
      <c r="B20" s="136"/>
      <c r="C20" s="61" t="s">
        <v>70</v>
      </c>
      <c r="D20" s="127"/>
      <c r="E20" s="115"/>
      <c r="F20" s="115"/>
      <c r="G20" s="115"/>
      <c r="H20" s="128"/>
      <c r="I20" s="129"/>
      <c r="J20" s="115"/>
      <c r="K20" s="115"/>
      <c r="L20" s="115" t="s">
        <v>157</v>
      </c>
      <c r="M20" s="115"/>
      <c r="N20" s="130"/>
      <c r="O20" s="131"/>
    </row>
    <row r="21" spans="2:17" ht="24" customHeight="1" thickBot="1" x14ac:dyDescent="0.3">
      <c r="B21" s="137"/>
      <c r="C21" s="57" t="s">
        <v>64</v>
      </c>
      <c r="D21" s="122" t="s">
        <v>61</v>
      </c>
      <c r="E21" s="123"/>
      <c r="F21" s="124" t="s">
        <v>71</v>
      </c>
      <c r="G21" s="123"/>
      <c r="H21" s="123" t="s">
        <v>19</v>
      </c>
      <c r="I21" s="123"/>
      <c r="J21" s="123" t="s">
        <v>74</v>
      </c>
      <c r="K21" s="123"/>
      <c r="L21" s="123" t="s">
        <v>72</v>
      </c>
      <c r="M21" s="125"/>
      <c r="N21" s="123" t="s">
        <v>71</v>
      </c>
      <c r="O21" s="126"/>
      <c r="P21" s="111">
        <v>5</v>
      </c>
    </row>
    <row r="22" spans="2:17" ht="12.75" x14ac:dyDescent="0.2">
      <c r="G22" s="48" t="s">
        <v>17</v>
      </c>
      <c r="J22" s="48" t="s">
        <v>17</v>
      </c>
      <c r="P22" s="111">
        <v>3</v>
      </c>
    </row>
    <row r="24" spans="2:17" x14ac:dyDescent="0.25">
      <c r="D24" s="71"/>
      <c r="E24" s="71"/>
      <c r="K24" s="48" t="s">
        <v>17</v>
      </c>
      <c r="P24" s="112">
        <f>SUM(P17:P23)</f>
        <v>81</v>
      </c>
      <c r="Q24" s="48" t="s">
        <v>169</v>
      </c>
    </row>
  </sheetData>
  <mergeCells count="123">
    <mergeCell ref="D2:E2"/>
    <mergeCell ref="F2:G2"/>
    <mergeCell ref="H2:I2"/>
    <mergeCell ref="J2:K2"/>
    <mergeCell ref="L2:M2"/>
    <mergeCell ref="N2:O2"/>
    <mergeCell ref="N3:O3"/>
    <mergeCell ref="D4:E4"/>
    <mergeCell ref="F4:G4"/>
    <mergeCell ref="H4:I4"/>
    <mergeCell ref="J4:K4"/>
    <mergeCell ref="L4:M4"/>
    <mergeCell ref="N4:O4"/>
    <mergeCell ref="B3:B4"/>
    <mergeCell ref="D3:E3"/>
    <mergeCell ref="F3:G3"/>
    <mergeCell ref="H3:I3"/>
    <mergeCell ref="J3:K3"/>
    <mergeCell ref="L3:M3"/>
    <mergeCell ref="B5:B11"/>
    <mergeCell ref="D5:E5"/>
    <mergeCell ref="F5:G5"/>
    <mergeCell ref="H5:I5"/>
    <mergeCell ref="J5:K5"/>
    <mergeCell ref="L5:M5"/>
    <mergeCell ref="D7:E7"/>
    <mergeCell ref="F7:G7"/>
    <mergeCell ref="H7:I7"/>
    <mergeCell ref="J7:K7"/>
    <mergeCell ref="L7:M7"/>
    <mergeCell ref="D10:E10"/>
    <mergeCell ref="F10:G10"/>
    <mergeCell ref="H10:I10"/>
    <mergeCell ref="J10:K10"/>
    <mergeCell ref="L10:M10"/>
    <mergeCell ref="N7:O7"/>
    <mergeCell ref="D8:E8"/>
    <mergeCell ref="F8:G8"/>
    <mergeCell ref="H8:I8"/>
    <mergeCell ref="J8:K8"/>
    <mergeCell ref="L8:M8"/>
    <mergeCell ref="N8:O8"/>
    <mergeCell ref="N5:O5"/>
    <mergeCell ref="D6:E6"/>
    <mergeCell ref="F6:G6"/>
    <mergeCell ref="H6:I6"/>
    <mergeCell ref="J6:K6"/>
    <mergeCell ref="L6:M6"/>
    <mergeCell ref="N6:O6"/>
    <mergeCell ref="N10:O10"/>
    <mergeCell ref="D9:E9"/>
    <mergeCell ref="F9:G9"/>
    <mergeCell ref="H9:I9"/>
    <mergeCell ref="J9:K9"/>
    <mergeCell ref="L9:M9"/>
    <mergeCell ref="N9:O9"/>
    <mergeCell ref="D12:E12"/>
    <mergeCell ref="F12:G12"/>
    <mergeCell ref="H12:I12"/>
    <mergeCell ref="J12:K12"/>
    <mergeCell ref="L12:M12"/>
    <mergeCell ref="N12:O12"/>
    <mergeCell ref="D11:E11"/>
    <mergeCell ref="F11:G11"/>
    <mergeCell ref="H11:I11"/>
    <mergeCell ref="J11:K11"/>
    <mergeCell ref="L11:M11"/>
    <mergeCell ref="N11:O11"/>
    <mergeCell ref="N13:O13"/>
    <mergeCell ref="D14:E14"/>
    <mergeCell ref="F14:G14"/>
    <mergeCell ref="H14:I14"/>
    <mergeCell ref="J14:K14"/>
    <mergeCell ref="L14:M14"/>
    <mergeCell ref="N14:O14"/>
    <mergeCell ref="B13:B14"/>
    <mergeCell ref="D13:E13"/>
    <mergeCell ref="F13:G13"/>
    <mergeCell ref="H13:I13"/>
    <mergeCell ref="J13:K13"/>
    <mergeCell ref="L13:M13"/>
    <mergeCell ref="N15:O15"/>
    <mergeCell ref="D16:E16"/>
    <mergeCell ref="F16:G16"/>
    <mergeCell ref="H16:I16"/>
    <mergeCell ref="J16:K16"/>
    <mergeCell ref="L16:M16"/>
    <mergeCell ref="N16:O16"/>
    <mergeCell ref="B15:B21"/>
    <mergeCell ref="D15:E15"/>
    <mergeCell ref="F15:G15"/>
    <mergeCell ref="H15:I15"/>
    <mergeCell ref="J15:K15"/>
    <mergeCell ref="L15:M15"/>
    <mergeCell ref="D17:E18"/>
    <mergeCell ref="F17:G17"/>
    <mergeCell ref="H17:I17"/>
    <mergeCell ref="J17:K17"/>
    <mergeCell ref="D19:E19"/>
    <mergeCell ref="F19:G19"/>
    <mergeCell ref="H19:I19"/>
    <mergeCell ref="J19:K19"/>
    <mergeCell ref="L19:M19"/>
    <mergeCell ref="N19:O19"/>
    <mergeCell ref="L17:M17"/>
    <mergeCell ref="N17:O17"/>
    <mergeCell ref="F18:G18"/>
    <mergeCell ref="H18:I18"/>
    <mergeCell ref="J18:K18"/>
    <mergeCell ref="L18:M18"/>
    <mergeCell ref="N18:O18"/>
    <mergeCell ref="D21:E21"/>
    <mergeCell ref="F21:G21"/>
    <mergeCell ref="H21:I21"/>
    <mergeCell ref="J21:K21"/>
    <mergeCell ref="L21:M21"/>
    <mergeCell ref="N21:O21"/>
    <mergeCell ref="D20:E20"/>
    <mergeCell ref="F20:G20"/>
    <mergeCell ref="H20:I20"/>
    <mergeCell ref="J20:K20"/>
    <mergeCell ref="L20:M20"/>
    <mergeCell ref="N20:O20"/>
  </mergeCells>
  <hyperlinks>
    <hyperlink ref="D2:E2" location="'день 1 '!A1" display="1 день"/>
    <hyperlink ref="F2:M2" location="'день 1 '!A1" display="1 день"/>
    <hyperlink ref="D12:E12" location="'день 1 '!A1" display="1 день"/>
    <hyperlink ref="F12:M12" location="'день 1 '!A1" display="1 день"/>
  </hyperlinks>
  <pageMargins left="0.32291666666666669" right="0.7" top="0.29166666666666669" bottom="0.44791666666666669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70"/>
  <sheetViews>
    <sheetView tabSelected="1" zoomScale="90" zoomScaleNormal="90" zoomScalePageLayoutView="90" workbookViewId="0">
      <selection activeCell="E61" sqref="E61"/>
    </sheetView>
  </sheetViews>
  <sheetFormatPr defaultColWidth="9.109375" defaultRowHeight="14.4" x14ac:dyDescent="0.3"/>
  <cols>
    <col min="1" max="1" width="6.44140625" style="12" customWidth="1"/>
    <col min="2" max="2" width="2.6640625" style="12" customWidth="1"/>
    <col min="3" max="3" width="10.5546875" style="12" customWidth="1"/>
    <col min="4" max="4" width="36.88671875" style="12" customWidth="1"/>
    <col min="5" max="6" width="7.33203125" style="12" customWidth="1"/>
    <col min="7" max="7" width="6.6640625" style="12" customWidth="1"/>
    <col min="8" max="8" width="6.88671875" style="12" customWidth="1"/>
    <col min="9" max="9" width="6.44140625" style="12" customWidth="1"/>
    <col min="10" max="10" width="6.5546875" style="12" customWidth="1"/>
    <col min="11" max="11" width="7.5546875" style="12" customWidth="1"/>
    <col min="12" max="12" width="7.44140625" style="12" customWidth="1"/>
    <col min="13" max="13" width="8.5546875" style="12" customWidth="1"/>
    <col min="14" max="14" width="10" style="12" customWidth="1"/>
    <col min="15" max="15" width="9" style="12" customWidth="1"/>
    <col min="16" max="16" width="7.33203125" style="12" customWidth="1"/>
    <col min="17" max="20" width="9.109375" style="12"/>
    <col min="21" max="21" width="7.33203125" style="12" customWidth="1"/>
    <col min="22" max="22" width="7.6640625" style="12" customWidth="1"/>
    <col min="23" max="23" width="9.109375" style="12"/>
    <col min="24" max="24" width="7.6640625" style="12" customWidth="1"/>
    <col min="25" max="16384" width="9.109375" style="12"/>
  </cols>
  <sheetData>
    <row r="2" spans="2:26" ht="19.8" x14ac:dyDescent="0.4">
      <c r="C2" s="216" t="s">
        <v>34</v>
      </c>
      <c r="D2" s="216"/>
      <c r="E2" s="216"/>
      <c r="F2" s="216"/>
      <c r="G2" s="216"/>
      <c r="H2" s="38"/>
      <c r="I2" s="91" t="s">
        <v>35</v>
      </c>
      <c r="J2" s="91"/>
      <c r="K2" s="91"/>
      <c r="L2" s="91"/>
      <c r="M2" s="91"/>
    </row>
    <row r="3" spans="2:26" ht="17.399999999999999" x14ac:dyDescent="0.35">
      <c r="C3" s="92" t="s">
        <v>36</v>
      </c>
      <c r="D3" s="92"/>
      <c r="E3" s="92"/>
      <c r="F3" s="37"/>
      <c r="G3" s="92"/>
      <c r="H3" s="92"/>
      <c r="I3" s="95" t="s">
        <v>162</v>
      </c>
      <c r="J3" s="72"/>
      <c r="K3" s="92"/>
      <c r="L3" s="92"/>
      <c r="M3" s="92"/>
      <c r="N3" s="92"/>
    </row>
    <row r="4" spans="2:26" ht="17.399999999999999" x14ac:dyDescent="0.35">
      <c r="C4" s="217" t="s">
        <v>37</v>
      </c>
      <c r="D4" s="217"/>
      <c r="E4" s="217"/>
      <c r="F4" s="217"/>
      <c r="G4" s="92"/>
      <c r="H4" s="92"/>
      <c r="I4" s="72" t="s">
        <v>161</v>
      </c>
      <c r="J4" s="72"/>
      <c r="K4" s="92"/>
      <c r="L4" s="92"/>
      <c r="M4" s="92"/>
      <c r="N4" s="92"/>
    </row>
    <row r="5" spans="2:26" ht="17.399999999999999" x14ac:dyDescent="0.35">
      <c r="C5" s="217"/>
      <c r="D5" s="217"/>
      <c r="E5" s="217"/>
      <c r="F5" s="217"/>
      <c r="G5" s="92"/>
      <c r="H5" s="92"/>
      <c r="I5" s="92" t="s">
        <v>163</v>
      </c>
      <c r="J5" s="72"/>
      <c r="K5" s="92"/>
      <c r="L5" s="92"/>
      <c r="M5" s="92"/>
      <c r="N5" s="92"/>
    </row>
    <row r="6" spans="2:26" ht="17.25" x14ac:dyDescent="0.3"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26" ht="17.25" x14ac:dyDescent="0.3"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2:26" ht="17.25" x14ac:dyDescent="0.3"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10" spans="2:26" ht="18.75" customHeight="1" x14ac:dyDescent="0.3">
      <c r="B10" s="44"/>
      <c r="C10" s="44"/>
      <c r="D10" s="218" t="s">
        <v>94</v>
      </c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51"/>
      <c r="P10" s="51"/>
      <c r="Q10" s="41"/>
      <c r="R10" s="41"/>
    </row>
    <row r="11" spans="2:26" ht="16.5" customHeight="1" x14ac:dyDescent="0.35">
      <c r="B11" s="42"/>
      <c r="C11" s="42"/>
      <c r="D11" s="219" t="s">
        <v>95</v>
      </c>
      <c r="E11" s="219"/>
      <c r="F11" s="219"/>
      <c r="G11" s="219"/>
      <c r="H11" s="219"/>
      <c r="I11" s="219"/>
      <c r="J11" s="219"/>
      <c r="K11" s="219"/>
      <c r="L11" s="219"/>
      <c r="M11" s="219"/>
      <c r="N11" s="62"/>
      <c r="O11" s="51"/>
      <c r="P11" s="51"/>
      <c r="Q11" s="42"/>
      <c r="R11" s="42"/>
    </row>
    <row r="12" spans="2:26" ht="17.399999999999999" x14ac:dyDescent="0.3">
      <c r="D12" s="215" t="s">
        <v>160</v>
      </c>
      <c r="E12" s="215"/>
      <c r="F12" s="215"/>
      <c r="G12" s="215"/>
      <c r="H12" s="215"/>
      <c r="I12" s="215"/>
      <c r="J12" s="215"/>
      <c r="K12" s="215"/>
      <c r="L12" s="215"/>
      <c r="M12" s="215"/>
      <c r="N12" s="63"/>
      <c r="O12" s="52"/>
      <c r="P12" s="50"/>
    </row>
    <row r="13" spans="2:26" ht="15" customHeight="1" thickBot="1" x14ac:dyDescent="0.3">
      <c r="O13" s="2"/>
      <c r="P13" s="2"/>
      <c r="Q13" s="1"/>
      <c r="R13" s="1"/>
      <c r="S13" s="1"/>
      <c r="T13" s="1"/>
      <c r="U13" s="2"/>
      <c r="V13" s="2"/>
      <c r="W13" s="1"/>
      <c r="X13" s="1"/>
      <c r="Y13" s="1"/>
      <c r="Z13" s="1"/>
    </row>
    <row r="14" spans="2:26" ht="15" customHeight="1" x14ac:dyDescent="0.3">
      <c r="B14" s="196" t="s">
        <v>33</v>
      </c>
      <c r="C14" s="199" t="s">
        <v>0</v>
      </c>
      <c r="D14" s="202" t="s">
        <v>1</v>
      </c>
      <c r="E14" s="205" t="s">
        <v>6</v>
      </c>
      <c r="F14" s="206"/>
      <c r="G14" s="209" t="s">
        <v>7</v>
      </c>
      <c r="H14" s="209"/>
      <c r="I14" s="209"/>
      <c r="J14" s="209"/>
      <c r="K14" s="209"/>
      <c r="L14" s="209"/>
      <c r="M14" s="210" t="s">
        <v>5</v>
      </c>
      <c r="N14" s="211"/>
      <c r="O14" s="1"/>
      <c r="P14" s="3"/>
      <c r="Q14" s="5"/>
      <c r="R14" s="5"/>
      <c r="S14" s="5"/>
      <c r="T14" s="5"/>
      <c r="U14" s="1"/>
      <c r="V14" s="3"/>
      <c r="W14" s="5"/>
      <c r="X14" s="5"/>
      <c r="Y14" s="5"/>
      <c r="Z14" s="5"/>
    </row>
    <row r="15" spans="2:26" x14ac:dyDescent="0.3">
      <c r="B15" s="197"/>
      <c r="C15" s="200"/>
      <c r="D15" s="203"/>
      <c r="E15" s="207"/>
      <c r="F15" s="208"/>
      <c r="G15" s="214" t="s">
        <v>3</v>
      </c>
      <c r="H15" s="214"/>
      <c r="I15" s="212" t="s">
        <v>2</v>
      </c>
      <c r="J15" s="212"/>
      <c r="K15" s="214" t="s">
        <v>4</v>
      </c>
      <c r="L15" s="214"/>
      <c r="M15" s="212"/>
      <c r="N15" s="213"/>
      <c r="O15" s="1"/>
      <c r="P15" s="3"/>
      <c r="Q15" s="5"/>
      <c r="R15" s="5"/>
      <c r="S15" s="5"/>
      <c r="T15" s="5"/>
      <c r="U15" s="1"/>
      <c r="V15" s="3"/>
      <c r="W15" s="5"/>
      <c r="X15" s="5"/>
      <c r="Y15" s="5"/>
      <c r="Z15" s="5"/>
    </row>
    <row r="16" spans="2:26" ht="27.75" customHeight="1" thickBot="1" x14ac:dyDescent="0.35">
      <c r="B16" s="198"/>
      <c r="C16" s="201"/>
      <c r="D16" s="204"/>
      <c r="E16" s="21" t="s">
        <v>12</v>
      </c>
      <c r="F16" s="22" t="s">
        <v>38</v>
      </c>
      <c r="G16" s="21" t="s">
        <v>12</v>
      </c>
      <c r="H16" s="22" t="s">
        <v>38</v>
      </c>
      <c r="I16" s="21" t="s">
        <v>12</v>
      </c>
      <c r="J16" s="22" t="s">
        <v>38</v>
      </c>
      <c r="K16" s="21" t="s">
        <v>12</v>
      </c>
      <c r="L16" s="22" t="s">
        <v>38</v>
      </c>
      <c r="M16" s="21" t="s">
        <v>12</v>
      </c>
      <c r="N16" s="23" t="s">
        <v>38</v>
      </c>
      <c r="O16" s="1"/>
      <c r="P16" s="3"/>
      <c r="Q16" s="5"/>
      <c r="R16" s="5"/>
      <c r="S16" s="5"/>
      <c r="T16" s="5"/>
      <c r="U16" s="1"/>
      <c r="V16" s="3"/>
      <c r="W16" s="5"/>
      <c r="X16" s="5"/>
      <c r="Y16" s="5"/>
      <c r="Z16" s="5"/>
    </row>
    <row r="17" spans="2:26" x14ac:dyDescent="0.3">
      <c r="B17" s="187" t="s">
        <v>124</v>
      </c>
      <c r="C17" s="190" t="s">
        <v>164</v>
      </c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1"/>
      <c r="O17" s="1"/>
      <c r="P17" s="3"/>
      <c r="Q17" s="5"/>
      <c r="R17" s="5"/>
      <c r="S17" s="5"/>
      <c r="T17" s="5"/>
      <c r="U17" s="1"/>
      <c r="V17" s="3"/>
      <c r="W17" s="5"/>
      <c r="X17" s="5"/>
      <c r="Y17" s="5"/>
      <c r="Z17" s="5"/>
    </row>
    <row r="18" spans="2:26" x14ac:dyDescent="0.3">
      <c r="B18" s="188"/>
      <c r="C18" s="65" t="s">
        <v>77</v>
      </c>
      <c r="D18" s="8" t="s">
        <v>78</v>
      </c>
      <c r="E18" s="55">
        <v>90</v>
      </c>
      <c r="F18" s="24">
        <v>100</v>
      </c>
      <c r="G18" s="17">
        <f>E18*15.3/100</f>
        <v>13.77</v>
      </c>
      <c r="H18" s="25">
        <f>F18*15.3/100</f>
        <v>15.3</v>
      </c>
      <c r="I18" s="17">
        <f>E18*11/100</f>
        <v>9.9</v>
      </c>
      <c r="J18" s="25">
        <f>F18*11/100</f>
        <v>11</v>
      </c>
      <c r="K18" s="17">
        <f>E18*13.3/100</f>
        <v>11.97</v>
      </c>
      <c r="L18" s="25">
        <f>F18*13.3/100</f>
        <v>13.3</v>
      </c>
      <c r="M18" s="18">
        <f t="shared" ref="M18:N23" si="0">G18*4+I18*9+K18*4</f>
        <v>192.06</v>
      </c>
      <c r="N18" s="33">
        <f t="shared" si="0"/>
        <v>213.39999999999998</v>
      </c>
      <c r="O18" s="1"/>
      <c r="P18" s="3"/>
      <c r="Q18" s="5"/>
      <c r="R18" s="5"/>
      <c r="S18" s="5"/>
      <c r="T18" s="5"/>
      <c r="U18" s="1"/>
      <c r="V18" s="3"/>
      <c r="W18" s="5"/>
      <c r="X18" s="5"/>
      <c r="Y18" s="5"/>
      <c r="Z18" s="5"/>
    </row>
    <row r="19" spans="2:26" x14ac:dyDescent="0.3">
      <c r="B19" s="188"/>
      <c r="C19" s="64" t="s">
        <v>28</v>
      </c>
      <c r="D19" s="6" t="s">
        <v>9</v>
      </c>
      <c r="E19" s="55">
        <v>150</v>
      </c>
      <c r="F19" s="24">
        <v>180</v>
      </c>
      <c r="G19" s="17">
        <f>E19*3.63/100</f>
        <v>5.4450000000000003</v>
      </c>
      <c r="H19" s="25">
        <f>F19*3.63/100</f>
        <v>6.5339999999999998</v>
      </c>
      <c r="I19" s="17">
        <f>E19*4.5/100</f>
        <v>6.75</v>
      </c>
      <c r="J19" s="25">
        <f>F19*4.5/100</f>
        <v>8.1</v>
      </c>
      <c r="K19" s="17">
        <f>E19*22.5/100</f>
        <v>33.75</v>
      </c>
      <c r="L19" s="25">
        <f>F19*22.5/100</f>
        <v>40.5</v>
      </c>
      <c r="M19" s="17">
        <f t="shared" si="0"/>
        <v>217.53</v>
      </c>
      <c r="N19" s="27">
        <f t="shared" si="0"/>
        <v>261.036</v>
      </c>
      <c r="O19" s="1"/>
      <c r="P19" s="3"/>
      <c r="Q19" s="5"/>
      <c r="R19" s="5"/>
      <c r="S19" s="5"/>
      <c r="T19" s="5"/>
      <c r="U19" s="1"/>
      <c r="V19" s="3"/>
      <c r="W19" s="5"/>
      <c r="X19" s="5"/>
      <c r="Y19" s="5"/>
      <c r="Z19" s="5"/>
    </row>
    <row r="20" spans="2:26" x14ac:dyDescent="0.3">
      <c r="B20" s="188"/>
      <c r="C20" s="65" t="s">
        <v>48</v>
      </c>
      <c r="D20" s="9" t="s">
        <v>49</v>
      </c>
      <c r="E20" s="55">
        <v>40</v>
      </c>
      <c r="F20" s="24">
        <v>50</v>
      </c>
      <c r="G20" s="17">
        <f>E20*1.3/50</f>
        <v>1.04</v>
      </c>
      <c r="H20" s="25">
        <f>F20*1.3/50</f>
        <v>1.3</v>
      </c>
      <c r="I20" s="17">
        <f>E20*4.8/50</f>
        <v>3.84</v>
      </c>
      <c r="J20" s="25">
        <f>F20*4.8/50</f>
        <v>4.8</v>
      </c>
      <c r="K20" s="17">
        <f>E20*4.7/50</f>
        <v>3.76</v>
      </c>
      <c r="L20" s="25">
        <f>F20*4.7/50</f>
        <v>4.7</v>
      </c>
      <c r="M20" s="17">
        <f t="shared" si="0"/>
        <v>53.76</v>
      </c>
      <c r="N20" s="27">
        <f t="shared" si="0"/>
        <v>67.2</v>
      </c>
      <c r="O20" s="1"/>
      <c r="P20" s="3"/>
      <c r="Q20" s="5"/>
      <c r="R20" s="5"/>
      <c r="S20" s="5"/>
      <c r="T20" s="5"/>
      <c r="U20" s="1"/>
      <c r="V20" s="3"/>
      <c r="W20" s="5"/>
      <c r="X20" s="5"/>
      <c r="Y20" s="5"/>
      <c r="Z20" s="5"/>
    </row>
    <row r="21" spans="2:26" x14ac:dyDescent="0.3">
      <c r="B21" s="188"/>
      <c r="C21" s="65" t="s">
        <v>41</v>
      </c>
      <c r="D21" s="9" t="s">
        <v>42</v>
      </c>
      <c r="E21" s="55">
        <v>200</v>
      </c>
      <c r="F21" s="24">
        <v>200</v>
      </c>
      <c r="G21" s="17">
        <f>E21*0.6/200</f>
        <v>0.6</v>
      </c>
      <c r="H21" s="25">
        <f>F21*0.6/200</f>
        <v>0.6</v>
      </c>
      <c r="I21" s="17">
        <f t="shared" ref="I21:J21" si="1">E21*0.1/200</f>
        <v>0.1</v>
      </c>
      <c r="J21" s="25">
        <f t="shared" si="1"/>
        <v>0.1</v>
      </c>
      <c r="K21" s="17">
        <f>E21*20.1/200</f>
        <v>20.100000000000001</v>
      </c>
      <c r="L21" s="25">
        <f>F21*20.1/200</f>
        <v>20.100000000000001</v>
      </c>
      <c r="M21" s="17">
        <f t="shared" si="0"/>
        <v>83.7</v>
      </c>
      <c r="N21" s="27">
        <f t="shared" si="0"/>
        <v>83.7</v>
      </c>
      <c r="O21" s="1"/>
      <c r="P21" s="3"/>
      <c r="Q21" s="5"/>
      <c r="R21" s="5"/>
      <c r="S21" s="5"/>
      <c r="T21" s="5"/>
      <c r="U21" s="1"/>
      <c r="V21" s="3"/>
      <c r="W21" s="5"/>
      <c r="X21" s="5"/>
      <c r="Y21" s="5"/>
      <c r="Z21" s="5"/>
    </row>
    <row r="22" spans="2:26" x14ac:dyDescent="0.3">
      <c r="B22" s="188"/>
      <c r="C22" s="64" t="s">
        <v>56</v>
      </c>
      <c r="D22" s="6" t="s">
        <v>16</v>
      </c>
      <c r="E22" s="45">
        <v>20</v>
      </c>
      <c r="F22" s="46">
        <v>20</v>
      </c>
      <c r="G22" s="17">
        <f>E22*8/100</f>
        <v>1.6</v>
      </c>
      <c r="H22" s="25">
        <f>F22*8/100</f>
        <v>1.6</v>
      </c>
      <c r="I22" s="17">
        <f>E22*1.5/100</f>
        <v>0.3</v>
      </c>
      <c r="J22" s="25">
        <f>F22*1.5/100</f>
        <v>0.3</v>
      </c>
      <c r="K22" s="17">
        <f>E22*40.1/100</f>
        <v>8.02</v>
      </c>
      <c r="L22" s="25">
        <f>F22*40.1/100</f>
        <v>8.02</v>
      </c>
      <c r="M22" s="17">
        <f t="shared" si="0"/>
        <v>41.18</v>
      </c>
      <c r="N22" s="27">
        <f t="shared" si="0"/>
        <v>41.18</v>
      </c>
      <c r="O22" s="1"/>
      <c r="P22" s="3"/>
      <c r="Q22" s="5"/>
      <c r="R22" s="5"/>
      <c r="S22" s="5"/>
      <c r="T22" s="5"/>
      <c r="U22" s="1"/>
      <c r="V22" s="3"/>
      <c r="W22" s="5"/>
      <c r="X22" s="5"/>
      <c r="Y22" s="5"/>
      <c r="Z22" s="5"/>
    </row>
    <row r="23" spans="2:26" x14ac:dyDescent="0.3">
      <c r="B23" s="188"/>
      <c r="C23" s="64" t="s">
        <v>57</v>
      </c>
      <c r="D23" s="6" t="s">
        <v>58</v>
      </c>
      <c r="E23" s="45">
        <v>20</v>
      </c>
      <c r="F23" s="46">
        <v>20</v>
      </c>
      <c r="G23" s="17">
        <f>E23*7.6/100</f>
        <v>1.52</v>
      </c>
      <c r="H23" s="25">
        <f>F23*7.6/100</f>
        <v>1.52</v>
      </c>
      <c r="I23" s="17">
        <f>E23*0.8/100</f>
        <v>0.16</v>
      </c>
      <c r="J23" s="25">
        <f>F23*0.8/100</f>
        <v>0.16</v>
      </c>
      <c r="K23" s="17">
        <f>E23*49.2/100</f>
        <v>9.84</v>
      </c>
      <c r="L23" s="25">
        <f>F23*49.2/100</f>
        <v>9.84</v>
      </c>
      <c r="M23" s="17">
        <f t="shared" si="0"/>
        <v>46.879999999999995</v>
      </c>
      <c r="N23" s="27">
        <f t="shared" si="0"/>
        <v>46.879999999999995</v>
      </c>
      <c r="O23" s="1"/>
      <c r="P23" s="3"/>
      <c r="Q23" s="5"/>
      <c r="R23" s="5"/>
      <c r="S23" s="5"/>
      <c r="T23" s="5"/>
      <c r="U23" s="1"/>
      <c r="V23" s="3"/>
      <c r="W23" s="5"/>
      <c r="X23" s="5"/>
      <c r="Y23" s="5"/>
      <c r="Z23" s="5"/>
    </row>
    <row r="24" spans="2:26" x14ac:dyDescent="0.3">
      <c r="B24" s="188"/>
      <c r="C24" s="96"/>
      <c r="D24" s="4" t="s">
        <v>165</v>
      </c>
      <c r="E24" s="19">
        <f>SUM(E18:E23)</f>
        <v>520</v>
      </c>
      <c r="F24" s="90">
        <f t="shared" ref="F24:N24" si="2">SUM(F18:F23)</f>
        <v>570</v>
      </c>
      <c r="G24" s="7">
        <f t="shared" si="2"/>
        <v>23.975000000000001</v>
      </c>
      <c r="H24" s="26">
        <f t="shared" si="2"/>
        <v>26.854000000000003</v>
      </c>
      <c r="I24" s="19">
        <f t="shared" si="2"/>
        <v>21.05</v>
      </c>
      <c r="J24" s="90">
        <f t="shared" si="2"/>
        <v>24.460000000000004</v>
      </c>
      <c r="K24" s="19">
        <f t="shared" si="2"/>
        <v>87.44</v>
      </c>
      <c r="L24" s="26">
        <f t="shared" si="2"/>
        <v>96.46</v>
      </c>
      <c r="M24" s="19">
        <f t="shared" si="2"/>
        <v>635.11</v>
      </c>
      <c r="N24" s="26">
        <f t="shared" si="2"/>
        <v>713.39599999999996</v>
      </c>
      <c r="O24" s="1"/>
      <c r="P24" s="3"/>
      <c r="Q24" s="5"/>
      <c r="R24" s="5"/>
      <c r="S24" s="5"/>
      <c r="T24" s="5"/>
      <c r="U24" s="1"/>
      <c r="V24" s="3"/>
      <c r="W24" s="5"/>
      <c r="X24" s="5"/>
      <c r="Y24" s="5"/>
      <c r="Z24" s="5"/>
    </row>
    <row r="25" spans="2:26" x14ac:dyDescent="0.3">
      <c r="B25" s="188"/>
      <c r="C25" s="192" t="s">
        <v>8</v>
      </c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3"/>
      <c r="O25" s="1"/>
      <c r="P25" s="3"/>
      <c r="Q25" s="5"/>
      <c r="R25" s="5"/>
      <c r="S25" s="5"/>
      <c r="T25" s="5"/>
      <c r="U25" s="1"/>
      <c r="V25" s="3"/>
      <c r="W25" s="5"/>
      <c r="X25" s="5"/>
      <c r="Y25" s="5"/>
      <c r="Z25" s="5"/>
    </row>
    <row r="26" spans="2:26" x14ac:dyDescent="0.3">
      <c r="B26" s="188"/>
      <c r="C26" s="97" t="s">
        <v>110</v>
      </c>
      <c r="D26" s="82" t="s">
        <v>111</v>
      </c>
      <c r="E26" s="88">
        <v>200</v>
      </c>
      <c r="F26" s="35">
        <v>250</v>
      </c>
      <c r="G26" s="18">
        <f>E26*1.82/100</f>
        <v>3.64</v>
      </c>
      <c r="H26" s="36">
        <f>F26*1.82/100</f>
        <v>4.55</v>
      </c>
      <c r="I26" s="18">
        <f>E26*2.99/100</f>
        <v>5.98</v>
      </c>
      <c r="J26" s="36">
        <f>F26*2.99/100</f>
        <v>7.4749999999999996</v>
      </c>
      <c r="K26" s="18">
        <f>E26*3.96/100</f>
        <v>7.92</v>
      </c>
      <c r="L26" s="36">
        <f>F26*3.96/100</f>
        <v>9.9</v>
      </c>
      <c r="M26" s="18">
        <f t="shared" ref="M26:N32" si="3">G26*4+I26*9+K26*4</f>
        <v>100.06</v>
      </c>
      <c r="N26" s="33">
        <f t="shared" si="3"/>
        <v>125.07499999999999</v>
      </c>
      <c r="O26" s="1"/>
      <c r="P26" s="3"/>
      <c r="Q26" s="5"/>
      <c r="R26" s="5"/>
      <c r="S26" s="5"/>
      <c r="T26" s="5"/>
      <c r="U26" s="1"/>
      <c r="V26" s="3"/>
      <c r="W26" s="5"/>
      <c r="X26" s="5"/>
      <c r="Y26" s="5"/>
      <c r="Z26" s="5"/>
    </row>
    <row r="27" spans="2:26" x14ac:dyDescent="0.3">
      <c r="B27" s="188"/>
      <c r="C27" s="65" t="s">
        <v>77</v>
      </c>
      <c r="D27" s="8" t="s">
        <v>78</v>
      </c>
      <c r="E27" s="55">
        <v>90</v>
      </c>
      <c r="F27" s="24">
        <v>100</v>
      </c>
      <c r="G27" s="17">
        <f>E27*15.3/100</f>
        <v>13.77</v>
      </c>
      <c r="H27" s="25">
        <f>F27*15.3/100</f>
        <v>15.3</v>
      </c>
      <c r="I27" s="17">
        <f>E27*11/100</f>
        <v>9.9</v>
      </c>
      <c r="J27" s="25">
        <f>F27*11/100</f>
        <v>11</v>
      </c>
      <c r="K27" s="17">
        <f>E27*13.3/100</f>
        <v>11.97</v>
      </c>
      <c r="L27" s="25">
        <f>F27*13.3/100</f>
        <v>13.3</v>
      </c>
      <c r="M27" s="18">
        <f t="shared" si="3"/>
        <v>192.06</v>
      </c>
      <c r="N27" s="33">
        <f t="shared" si="3"/>
        <v>213.39999999999998</v>
      </c>
      <c r="O27" s="1"/>
      <c r="P27" s="3"/>
      <c r="Q27" s="5"/>
      <c r="R27" s="5"/>
      <c r="S27" s="5"/>
      <c r="T27" s="5"/>
      <c r="U27" s="1"/>
      <c r="V27" s="3"/>
      <c r="W27" s="5"/>
      <c r="X27" s="5"/>
      <c r="Y27" s="5"/>
      <c r="Z27" s="5"/>
    </row>
    <row r="28" spans="2:26" x14ac:dyDescent="0.3">
      <c r="B28" s="188"/>
      <c r="C28" s="64" t="s">
        <v>28</v>
      </c>
      <c r="D28" s="6" t="s">
        <v>9</v>
      </c>
      <c r="E28" s="55">
        <v>150</v>
      </c>
      <c r="F28" s="24">
        <v>180</v>
      </c>
      <c r="G28" s="17">
        <f>E28*3.63/100</f>
        <v>5.4450000000000003</v>
      </c>
      <c r="H28" s="25">
        <f>F28*3.63/100</f>
        <v>6.5339999999999998</v>
      </c>
      <c r="I28" s="17">
        <f>E28*4.5/100</f>
        <v>6.75</v>
      </c>
      <c r="J28" s="25">
        <f>F28*4.5/100</f>
        <v>8.1</v>
      </c>
      <c r="K28" s="17">
        <f>E28*22.5/100</f>
        <v>33.75</v>
      </c>
      <c r="L28" s="25">
        <f>F28*22.5/100</f>
        <v>40.5</v>
      </c>
      <c r="M28" s="17">
        <f t="shared" si="3"/>
        <v>217.53</v>
      </c>
      <c r="N28" s="27">
        <f t="shared" si="3"/>
        <v>261.036</v>
      </c>
      <c r="O28" s="1"/>
      <c r="P28" s="3"/>
      <c r="Q28" s="5"/>
      <c r="R28" s="5"/>
      <c r="S28" s="5"/>
      <c r="T28" s="5"/>
      <c r="U28" s="1"/>
      <c r="V28" s="3"/>
      <c r="W28" s="5"/>
      <c r="X28" s="5"/>
      <c r="Y28" s="5"/>
      <c r="Z28" s="5"/>
    </row>
    <row r="29" spans="2:26" x14ac:dyDescent="0.3">
      <c r="B29" s="188"/>
      <c r="C29" s="65" t="s">
        <v>48</v>
      </c>
      <c r="D29" s="9" t="s">
        <v>49</v>
      </c>
      <c r="E29" s="55">
        <v>40</v>
      </c>
      <c r="F29" s="24">
        <v>50</v>
      </c>
      <c r="G29" s="17">
        <f>E29*1.3/50</f>
        <v>1.04</v>
      </c>
      <c r="H29" s="25">
        <f>F29*1.3/50</f>
        <v>1.3</v>
      </c>
      <c r="I29" s="17">
        <f>E29*4.8/50</f>
        <v>3.84</v>
      </c>
      <c r="J29" s="25">
        <f>F29*4.8/50</f>
        <v>4.8</v>
      </c>
      <c r="K29" s="17">
        <f>E29*4.7/50</f>
        <v>3.76</v>
      </c>
      <c r="L29" s="25">
        <f>F29*4.7/50</f>
        <v>4.7</v>
      </c>
      <c r="M29" s="17">
        <f t="shared" si="3"/>
        <v>53.76</v>
      </c>
      <c r="N29" s="27">
        <f t="shared" si="3"/>
        <v>67.2</v>
      </c>
      <c r="O29" s="1"/>
      <c r="P29" s="3"/>
      <c r="Q29" s="5"/>
      <c r="R29" s="5"/>
      <c r="S29" s="5"/>
      <c r="T29" s="5"/>
      <c r="U29" s="1"/>
      <c r="V29" s="3"/>
      <c r="W29" s="5"/>
      <c r="X29" s="5"/>
      <c r="Y29" s="5"/>
      <c r="Z29" s="5"/>
    </row>
    <row r="30" spans="2:26" x14ac:dyDescent="0.3">
      <c r="B30" s="188"/>
      <c r="C30" s="65" t="s">
        <v>41</v>
      </c>
      <c r="D30" s="9" t="s">
        <v>42</v>
      </c>
      <c r="E30" s="55">
        <v>200</v>
      </c>
      <c r="F30" s="24">
        <v>200</v>
      </c>
      <c r="G30" s="17">
        <f>E30*0.6/200</f>
        <v>0.6</v>
      </c>
      <c r="H30" s="25">
        <f>F30*0.6/200</f>
        <v>0.6</v>
      </c>
      <c r="I30" s="17">
        <f t="shared" ref="I30:J30" si="4">E30*0.1/200</f>
        <v>0.1</v>
      </c>
      <c r="J30" s="25">
        <f t="shared" si="4"/>
        <v>0.1</v>
      </c>
      <c r="K30" s="17">
        <f>E30*20.1/200</f>
        <v>20.100000000000001</v>
      </c>
      <c r="L30" s="25">
        <f>F30*20.1/200</f>
        <v>20.100000000000001</v>
      </c>
      <c r="M30" s="17">
        <f t="shared" si="3"/>
        <v>83.7</v>
      </c>
      <c r="N30" s="27">
        <f t="shared" si="3"/>
        <v>83.7</v>
      </c>
      <c r="O30" s="1"/>
      <c r="P30" s="3"/>
      <c r="Q30" s="5"/>
      <c r="R30" s="5"/>
      <c r="S30" s="5"/>
      <c r="T30" s="5"/>
      <c r="U30" s="1"/>
      <c r="V30" s="3"/>
      <c r="W30" s="5"/>
      <c r="X30" s="5"/>
      <c r="Y30" s="5"/>
      <c r="Z30" s="5"/>
    </row>
    <row r="31" spans="2:26" x14ac:dyDescent="0.3">
      <c r="B31" s="188"/>
      <c r="C31" s="64" t="s">
        <v>56</v>
      </c>
      <c r="D31" s="6" t="s">
        <v>16</v>
      </c>
      <c r="E31" s="45">
        <v>20</v>
      </c>
      <c r="F31" s="46">
        <v>20</v>
      </c>
      <c r="G31" s="17">
        <f>E31*8/100</f>
        <v>1.6</v>
      </c>
      <c r="H31" s="25">
        <f>F31*8/100</f>
        <v>1.6</v>
      </c>
      <c r="I31" s="17">
        <f>E31*1.5/100</f>
        <v>0.3</v>
      </c>
      <c r="J31" s="25">
        <f>F31*1.5/100</f>
        <v>0.3</v>
      </c>
      <c r="K31" s="17">
        <f>E31*40.1/100</f>
        <v>8.02</v>
      </c>
      <c r="L31" s="25">
        <f>F31*40.1/100</f>
        <v>8.02</v>
      </c>
      <c r="M31" s="17">
        <f t="shared" si="3"/>
        <v>41.18</v>
      </c>
      <c r="N31" s="27">
        <f t="shared" si="3"/>
        <v>41.18</v>
      </c>
      <c r="O31" s="1"/>
      <c r="P31" s="3"/>
      <c r="Q31" s="5"/>
      <c r="R31" s="5"/>
      <c r="S31" s="5"/>
      <c r="T31" s="5"/>
      <c r="U31" s="1"/>
      <c r="V31" s="3"/>
      <c r="W31" s="5"/>
      <c r="X31" s="5"/>
      <c r="Y31" s="5"/>
      <c r="Z31" s="5"/>
    </row>
    <row r="32" spans="2:26" x14ac:dyDescent="0.3">
      <c r="B32" s="188"/>
      <c r="C32" s="64" t="s">
        <v>57</v>
      </c>
      <c r="D32" s="6" t="s">
        <v>58</v>
      </c>
      <c r="E32" s="45">
        <v>40</v>
      </c>
      <c r="F32" s="46">
        <v>40</v>
      </c>
      <c r="G32" s="17">
        <f>E32*7.6/100</f>
        <v>3.04</v>
      </c>
      <c r="H32" s="25">
        <f>F32*7.6/100</f>
        <v>3.04</v>
      </c>
      <c r="I32" s="17">
        <f>E32*0.8/100</f>
        <v>0.32</v>
      </c>
      <c r="J32" s="25">
        <f>F32*0.8/100</f>
        <v>0.32</v>
      </c>
      <c r="K32" s="17">
        <f>E32*49.2/100</f>
        <v>19.68</v>
      </c>
      <c r="L32" s="25">
        <f>F32*49.2/100</f>
        <v>19.68</v>
      </c>
      <c r="M32" s="17">
        <f t="shared" si="3"/>
        <v>93.759999999999991</v>
      </c>
      <c r="N32" s="27">
        <f t="shared" si="3"/>
        <v>93.759999999999991</v>
      </c>
      <c r="O32" s="1"/>
      <c r="P32" s="3"/>
      <c r="Q32" s="5" t="s">
        <v>17</v>
      </c>
      <c r="R32" s="5"/>
      <c r="S32" s="5"/>
      <c r="T32" s="5"/>
      <c r="U32" s="1"/>
      <c r="V32" s="3"/>
      <c r="W32" s="5"/>
      <c r="X32" s="5"/>
      <c r="Y32" s="5"/>
      <c r="Z32" s="5"/>
    </row>
    <row r="33" spans="2:26" ht="15" thickBot="1" x14ac:dyDescent="0.35">
      <c r="B33" s="189"/>
      <c r="C33" s="98"/>
      <c r="D33" s="13" t="s">
        <v>11</v>
      </c>
      <c r="E33" s="69">
        <f t="shared" ref="E33:N33" si="5">SUM(E26:E32)</f>
        <v>740</v>
      </c>
      <c r="F33" s="70">
        <f t="shared" si="5"/>
        <v>840</v>
      </c>
      <c r="G33" s="15">
        <f t="shared" si="5"/>
        <v>29.135000000000002</v>
      </c>
      <c r="H33" s="32">
        <f t="shared" si="5"/>
        <v>32.924000000000007</v>
      </c>
      <c r="I33" s="69">
        <f t="shared" si="5"/>
        <v>27.190000000000005</v>
      </c>
      <c r="J33" s="32">
        <f t="shared" si="5"/>
        <v>32.095000000000006</v>
      </c>
      <c r="K33" s="69">
        <f t="shared" si="5"/>
        <v>105.19999999999999</v>
      </c>
      <c r="L33" s="32">
        <f t="shared" si="5"/>
        <v>116.19999999999999</v>
      </c>
      <c r="M33" s="15">
        <f t="shared" si="5"/>
        <v>782.05</v>
      </c>
      <c r="N33" s="34">
        <f t="shared" si="5"/>
        <v>885.351</v>
      </c>
      <c r="O33" s="1"/>
      <c r="P33" s="3"/>
      <c r="Q33" s="5"/>
      <c r="R33" s="5"/>
      <c r="S33" s="5" t="s">
        <v>17</v>
      </c>
      <c r="T33" s="5"/>
      <c r="U33" s="1"/>
      <c r="V33" s="3"/>
      <c r="W33" s="5"/>
      <c r="X33" s="5"/>
      <c r="Y33" s="5"/>
      <c r="Z33" s="5"/>
    </row>
    <row r="34" spans="2:26" x14ac:dyDescent="0.3">
      <c r="B34" s="187" t="s">
        <v>125</v>
      </c>
      <c r="C34" s="190" t="s">
        <v>164</v>
      </c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1"/>
    </row>
    <row r="35" spans="2:26" x14ac:dyDescent="0.3">
      <c r="B35" s="188"/>
      <c r="C35" s="89" t="s">
        <v>27</v>
      </c>
      <c r="D35" s="9" t="s">
        <v>18</v>
      </c>
      <c r="E35" s="55">
        <v>90</v>
      </c>
      <c r="F35" s="24">
        <v>100</v>
      </c>
      <c r="G35" s="17">
        <f>E35*6.33/100</f>
        <v>5.6970000000000001</v>
      </c>
      <c r="H35" s="25">
        <f>F35*6.33/100</f>
        <v>6.33</v>
      </c>
      <c r="I35" s="17">
        <f>E35*14.65/100</f>
        <v>13.185</v>
      </c>
      <c r="J35" s="25">
        <f>F35*14.65/100</f>
        <v>14.65</v>
      </c>
      <c r="K35" s="17">
        <f>E35*10.55/100</f>
        <v>9.495000000000001</v>
      </c>
      <c r="L35" s="25">
        <f>F35*10.55/100</f>
        <v>10.55</v>
      </c>
      <c r="M35" s="17">
        <f t="shared" ref="M35:M40" si="6">G35*4+I35*9+K35*4</f>
        <v>179.43299999999999</v>
      </c>
      <c r="N35" s="27">
        <f t="shared" ref="N35:N40" si="7">H35*4+J35*9+L35*4</f>
        <v>199.37</v>
      </c>
    </row>
    <row r="36" spans="2:26" x14ac:dyDescent="0.3">
      <c r="B36" s="188"/>
      <c r="C36" s="89" t="s">
        <v>14</v>
      </c>
      <c r="D36" s="9" t="s">
        <v>15</v>
      </c>
      <c r="E36" s="55">
        <v>150</v>
      </c>
      <c r="F36" s="24">
        <v>180</v>
      </c>
      <c r="G36" s="17">
        <f>E36*2.1/100</f>
        <v>3.15</v>
      </c>
      <c r="H36" s="25">
        <f>F36*2.1/100</f>
        <v>3.78</v>
      </c>
      <c r="I36" s="17">
        <f>E36*3.5/100</f>
        <v>5.25</v>
      </c>
      <c r="J36" s="25">
        <f>F36*3.5/100</f>
        <v>6.3</v>
      </c>
      <c r="K36" s="17">
        <f>E36*14.6/100</f>
        <v>21.9</v>
      </c>
      <c r="L36" s="25">
        <f>F36*14.6/100</f>
        <v>26.28</v>
      </c>
      <c r="M36" s="17">
        <f t="shared" si="6"/>
        <v>147.44999999999999</v>
      </c>
      <c r="N36" s="27">
        <f t="shared" si="7"/>
        <v>176.94</v>
      </c>
    </row>
    <row r="37" spans="2:26" x14ac:dyDescent="0.3">
      <c r="B37" s="188"/>
      <c r="C37" s="89" t="s">
        <v>48</v>
      </c>
      <c r="D37" s="9" t="s">
        <v>49</v>
      </c>
      <c r="E37" s="55">
        <v>40</v>
      </c>
      <c r="F37" s="24">
        <v>50</v>
      </c>
      <c r="G37" s="17">
        <f>E37*1.3/50</f>
        <v>1.04</v>
      </c>
      <c r="H37" s="25">
        <f>F37*1.3/50</f>
        <v>1.3</v>
      </c>
      <c r="I37" s="17">
        <f>E37*4.8/50</f>
        <v>3.84</v>
      </c>
      <c r="J37" s="25">
        <f>F37*4.8/50</f>
        <v>4.8</v>
      </c>
      <c r="K37" s="17">
        <f>E37*4.7/50</f>
        <v>3.76</v>
      </c>
      <c r="L37" s="25">
        <f>F37*4.7/50</f>
        <v>4.7</v>
      </c>
      <c r="M37" s="17">
        <f t="shared" si="6"/>
        <v>53.76</v>
      </c>
      <c r="N37" s="27">
        <f t="shared" si="7"/>
        <v>67.2</v>
      </c>
    </row>
    <row r="38" spans="2:26" x14ac:dyDescent="0.3">
      <c r="B38" s="188"/>
      <c r="C38" s="89" t="s">
        <v>40</v>
      </c>
      <c r="D38" s="9" t="s">
        <v>109</v>
      </c>
      <c r="E38" s="55">
        <v>200</v>
      </c>
      <c r="F38" s="24">
        <v>200</v>
      </c>
      <c r="G38" s="17">
        <f>E38*0.2/200</f>
        <v>0.2</v>
      </c>
      <c r="H38" s="25">
        <f>F38*0.2/200</f>
        <v>0.2</v>
      </c>
      <c r="I38" s="17">
        <f t="shared" ref="I38" si="8">E38*0.1/200</f>
        <v>0.1</v>
      </c>
      <c r="J38" s="25">
        <f t="shared" ref="J38" si="9">F38*0.1/200</f>
        <v>0.1</v>
      </c>
      <c r="K38" s="17">
        <f>E38*9.3/200</f>
        <v>9.3000000000000007</v>
      </c>
      <c r="L38" s="25">
        <f>F38*9.3/200</f>
        <v>9.3000000000000007</v>
      </c>
      <c r="M38" s="17">
        <f t="shared" si="6"/>
        <v>38.900000000000006</v>
      </c>
      <c r="N38" s="27">
        <f t="shared" si="7"/>
        <v>38.900000000000006</v>
      </c>
    </row>
    <row r="39" spans="2:26" x14ac:dyDescent="0.3">
      <c r="B39" s="188"/>
      <c r="C39" s="16" t="s">
        <v>56</v>
      </c>
      <c r="D39" s="6" t="s">
        <v>16</v>
      </c>
      <c r="E39" s="45">
        <v>20</v>
      </c>
      <c r="F39" s="46">
        <v>20</v>
      </c>
      <c r="G39" s="17">
        <f>E39*8/100</f>
        <v>1.6</v>
      </c>
      <c r="H39" s="25">
        <f>F39*8/100</f>
        <v>1.6</v>
      </c>
      <c r="I39" s="17">
        <f>E39*1.5/100</f>
        <v>0.3</v>
      </c>
      <c r="J39" s="25">
        <f>F39*1.5/100</f>
        <v>0.3</v>
      </c>
      <c r="K39" s="17">
        <f>E39*40.1/100</f>
        <v>8.02</v>
      </c>
      <c r="L39" s="25">
        <f>F39*40.1/100</f>
        <v>8.02</v>
      </c>
      <c r="M39" s="17">
        <f t="shared" si="6"/>
        <v>41.18</v>
      </c>
      <c r="N39" s="27">
        <f t="shared" si="7"/>
        <v>41.18</v>
      </c>
    </row>
    <row r="40" spans="2:26" x14ac:dyDescent="0.3">
      <c r="B40" s="188"/>
      <c r="C40" s="16" t="s">
        <v>57</v>
      </c>
      <c r="D40" s="6" t="s">
        <v>58</v>
      </c>
      <c r="E40" s="45">
        <v>20</v>
      </c>
      <c r="F40" s="46">
        <v>20</v>
      </c>
      <c r="G40" s="17">
        <f>E40*7.6/100</f>
        <v>1.52</v>
      </c>
      <c r="H40" s="25">
        <f>F40*7.6/100</f>
        <v>1.52</v>
      </c>
      <c r="I40" s="17">
        <f>E40*0.8/100</f>
        <v>0.16</v>
      </c>
      <c r="J40" s="25">
        <f>F40*0.8/100</f>
        <v>0.16</v>
      </c>
      <c r="K40" s="17">
        <f>E40*49.2/100</f>
        <v>9.84</v>
      </c>
      <c r="L40" s="25">
        <f>F40*49.2/100</f>
        <v>9.84</v>
      </c>
      <c r="M40" s="17">
        <f t="shared" si="6"/>
        <v>46.879999999999995</v>
      </c>
      <c r="N40" s="27">
        <f t="shared" si="7"/>
        <v>46.879999999999995</v>
      </c>
    </row>
    <row r="41" spans="2:26" x14ac:dyDescent="0.3">
      <c r="B41" s="188"/>
      <c r="C41" s="96"/>
      <c r="D41" s="4" t="s">
        <v>165</v>
      </c>
      <c r="E41" s="19">
        <f>SUM(E35:E40)</f>
        <v>520</v>
      </c>
      <c r="F41" s="90">
        <f t="shared" ref="F41" si="10">SUM(F35:F40)</f>
        <v>570</v>
      </c>
      <c r="G41" s="7">
        <f t="shared" ref="G41" si="11">SUM(G35:G40)</f>
        <v>13.206999999999999</v>
      </c>
      <c r="H41" s="26">
        <f t="shared" ref="H41" si="12">SUM(H35:H40)</f>
        <v>14.729999999999999</v>
      </c>
      <c r="I41" s="7">
        <f t="shared" ref="I41" si="13">SUM(I35:I40)</f>
        <v>22.835000000000004</v>
      </c>
      <c r="J41" s="90">
        <f t="shared" ref="J41" si="14">SUM(J35:J40)</f>
        <v>26.310000000000002</v>
      </c>
      <c r="K41" s="7">
        <f t="shared" ref="K41" si="15">SUM(K35:K40)</f>
        <v>62.314999999999998</v>
      </c>
      <c r="L41" s="26">
        <f t="shared" ref="L41" si="16">SUM(L35:L40)</f>
        <v>68.69</v>
      </c>
      <c r="M41" s="7">
        <f t="shared" ref="M41" si="17">SUM(M35:M40)</f>
        <v>507.60300000000001</v>
      </c>
      <c r="N41" s="26">
        <f t="shared" ref="N41" si="18">SUM(N35:N40)</f>
        <v>570.46999999999991</v>
      </c>
    </row>
    <row r="42" spans="2:26" x14ac:dyDescent="0.3">
      <c r="B42" s="188"/>
      <c r="C42" s="192" t="s">
        <v>8</v>
      </c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3"/>
    </row>
    <row r="43" spans="2:26" x14ac:dyDescent="0.3">
      <c r="B43" s="188"/>
      <c r="C43" s="89" t="s">
        <v>136</v>
      </c>
      <c r="D43" s="81" t="s">
        <v>137</v>
      </c>
      <c r="E43" s="88">
        <v>200</v>
      </c>
      <c r="F43" s="35">
        <v>250</v>
      </c>
      <c r="G43" s="18">
        <f>E43*13.5/250</f>
        <v>10.8</v>
      </c>
      <c r="H43" s="36">
        <f>F43*13.5/250</f>
        <v>13.5</v>
      </c>
      <c r="I43" s="18">
        <f>E43*3.6/250</f>
        <v>2.88</v>
      </c>
      <c r="J43" s="36">
        <f>F43*3.6/250</f>
        <v>3.6</v>
      </c>
      <c r="K43" s="18">
        <f>E43*12.5/250</f>
        <v>10</v>
      </c>
      <c r="L43" s="36">
        <f>F43*12.5/250</f>
        <v>12.5</v>
      </c>
      <c r="M43" s="18">
        <f t="shared" ref="M43:N49" si="19">G43*4+I43*9+K43*4</f>
        <v>109.12</v>
      </c>
      <c r="N43" s="33">
        <f t="shared" si="19"/>
        <v>136.4</v>
      </c>
    </row>
    <row r="44" spans="2:26" x14ac:dyDescent="0.3">
      <c r="B44" s="188"/>
      <c r="C44" s="89" t="s">
        <v>27</v>
      </c>
      <c r="D44" s="9" t="s">
        <v>18</v>
      </c>
      <c r="E44" s="55">
        <v>90</v>
      </c>
      <c r="F44" s="24">
        <v>100</v>
      </c>
      <c r="G44" s="17">
        <f>E44*6.33/100</f>
        <v>5.6970000000000001</v>
      </c>
      <c r="H44" s="25">
        <f>F44*6.33/100</f>
        <v>6.33</v>
      </c>
      <c r="I44" s="17">
        <f>E44*14.65/100</f>
        <v>13.185</v>
      </c>
      <c r="J44" s="25">
        <f>F44*14.65/100</f>
        <v>14.65</v>
      </c>
      <c r="K44" s="17">
        <f>E44*10.55/100</f>
        <v>9.495000000000001</v>
      </c>
      <c r="L44" s="25">
        <f>F44*10.55/100</f>
        <v>10.55</v>
      </c>
      <c r="M44" s="17">
        <f t="shared" si="19"/>
        <v>179.43299999999999</v>
      </c>
      <c r="N44" s="27">
        <f t="shared" si="19"/>
        <v>199.37</v>
      </c>
    </row>
    <row r="45" spans="2:26" x14ac:dyDescent="0.3">
      <c r="B45" s="188"/>
      <c r="C45" s="89" t="s">
        <v>14</v>
      </c>
      <c r="D45" s="9" t="s">
        <v>15</v>
      </c>
      <c r="E45" s="55">
        <v>150</v>
      </c>
      <c r="F45" s="24">
        <v>180</v>
      </c>
      <c r="G45" s="17">
        <f>E45*2.1/100</f>
        <v>3.15</v>
      </c>
      <c r="H45" s="25">
        <f>F45*2.1/100</f>
        <v>3.78</v>
      </c>
      <c r="I45" s="17">
        <f>E45*3.5/100</f>
        <v>5.25</v>
      </c>
      <c r="J45" s="25">
        <f>F45*3.5/100</f>
        <v>6.3</v>
      </c>
      <c r="K45" s="17">
        <f>E45*14.6/100</f>
        <v>21.9</v>
      </c>
      <c r="L45" s="25">
        <f>F45*14.6/100</f>
        <v>26.28</v>
      </c>
      <c r="M45" s="17">
        <f t="shared" si="19"/>
        <v>147.44999999999999</v>
      </c>
      <c r="N45" s="27">
        <f t="shared" si="19"/>
        <v>176.94</v>
      </c>
    </row>
    <row r="46" spans="2:26" x14ac:dyDescent="0.3">
      <c r="B46" s="188"/>
      <c r="C46" s="89" t="s">
        <v>48</v>
      </c>
      <c r="D46" s="9" t="s">
        <v>49</v>
      </c>
      <c r="E46" s="55">
        <v>40</v>
      </c>
      <c r="F46" s="24">
        <v>50</v>
      </c>
      <c r="G46" s="17">
        <f>E46*1.3/50</f>
        <v>1.04</v>
      </c>
      <c r="H46" s="25">
        <f>F46*1.3/50</f>
        <v>1.3</v>
      </c>
      <c r="I46" s="17">
        <f>E46*4.8/50</f>
        <v>3.84</v>
      </c>
      <c r="J46" s="25">
        <f>F46*4.8/50</f>
        <v>4.8</v>
      </c>
      <c r="K46" s="17">
        <f>E46*4.7/50</f>
        <v>3.76</v>
      </c>
      <c r="L46" s="25">
        <f>F46*4.7/50</f>
        <v>4.7</v>
      </c>
      <c r="M46" s="17">
        <f t="shared" si="19"/>
        <v>53.76</v>
      </c>
      <c r="N46" s="27">
        <f t="shared" si="19"/>
        <v>67.2</v>
      </c>
    </row>
    <row r="47" spans="2:26" x14ac:dyDescent="0.3">
      <c r="B47" s="188"/>
      <c r="C47" s="65" t="s">
        <v>41</v>
      </c>
      <c r="D47" s="9" t="s">
        <v>42</v>
      </c>
      <c r="E47" s="55">
        <v>200</v>
      </c>
      <c r="F47" s="24">
        <v>200</v>
      </c>
      <c r="G47" s="17">
        <f>E47*0.6/200</f>
        <v>0.6</v>
      </c>
      <c r="H47" s="25">
        <f>F47*0.6/200</f>
        <v>0.6</v>
      </c>
      <c r="I47" s="17">
        <f t="shared" ref="I47" si="20">E47*0.1/200</f>
        <v>0.1</v>
      </c>
      <c r="J47" s="25">
        <f t="shared" ref="J47" si="21">F47*0.1/200</f>
        <v>0.1</v>
      </c>
      <c r="K47" s="17">
        <f>E47*20.1/200</f>
        <v>20.100000000000001</v>
      </c>
      <c r="L47" s="25">
        <f>F47*20.1/200</f>
        <v>20.100000000000001</v>
      </c>
      <c r="M47" s="17">
        <f t="shared" si="19"/>
        <v>83.7</v>
      </c>
      <c r="N47" s="27">
        <f t="shared" si="19"/>
        <v>83.7</v>
      </c>
    </row>
    <row r="48" spans="2:26" x14ac:dyDescent="0.3">
      <c r="B48" s="188"/>
      <c r="C48" s="16" t="s">
        <v>56</v>
      </c>
      <c r="D48" s="6" t="s">
        <v>16</v>
      </c>
      <c r="E48" s="45">
        <v>20</v>
      </c>
      <c r="F48" s="46">
        <v>20</v>
      </c>
      <c r="G48" s="17">
        <f>E48*8/100</f>
        <v>1.6</v>
      </c>
      <c r="H48" s="25">
        <f>F48*8/100</f>
        <v>1.6</v>
      </c>
      <c r="I48" s="17">
        <f>E48*1.5/100</f>
        <v>0.3</v>
      </c>
      <c r="J48" s="25">
        <f>F48*1.5/100</f>
        <v>0.3</v>
      </c>
      <c r="K48" s="17">
        <f>E48*40.1/100</f>
        <v>8.02</v>
      </c>
      <c r="L48" s="25">
        <f>F48*40.1/100</f>
        <v>8.02</v>
      </c>
      <c r="M48" s="17">
        <f t="shared" si="19"/>
        <v>41.18</v>
      </c>
      <c r="N48" s="27">
        <f t="shared" si="19"/>
        <v>41.18</v>
      </c>
    </row>
    <row r="49" spans="2:14" x14ac:dyDescent="0.3">
      <c r="B49" s="188"/>
      <c r="C49" s="16" t="s">
        <v>57</v>
      </c>
      <c r="D49" s="6" t="s">
        <v>58</v>
      </c>
      <c r="E49" s="45">
        <v>50</v>
      </c>
      <c r="F49" s="46">
        <v>50</v>
      </c>
      <c r="G49" s="17">
        <f>E49*7.6/100</f>
        <v>3.8</v>
      </c>
      <c r="H49" s="25">
        <f>F49*7.6/100</f>
        <v>3.8</v>
      </c>
      <c r="I49" s="17">
        <f>E49*0.8/100</f>
        <v>0.4</v>
      </c>
      <c r="J49" s="25">
        <f>F49*0.8/100</f>
        <v>0.4</v>
      </c>
      <c r="K49" s="17">
        <f>E49*49.2/100</f>
        <v>24.6</v>
      </c>
      <c r="L49" s="25">
        <f>F49*49.2/100</f>
        <v>24.6</v>
      </c>
      <c r="M49" s="17">
        <f t="shared" si="19"/>
        <v>117.2</v>
      </c>
      <c r="N49" s="27">
        <f t="shared" si="19"/>
        <v>117.2</v>
      </c>
    </row>
    <row r="50" spans="2:14" ht="15" thickBot="1" x14ac:dyDescent="0.35">
      <c r="B50" s="189"/>
      <c r="C50" s="98"/>
      <c r="D50" s="13" t="s">
        <v>11</v>
      </c>
      <c r="E50" s="69">
        <f t="shared" ref="E50:N50" si="22">SUM(E43:E49)</f>
        <v>750</v>
      </c>
      <c r="F50" s="70">
        <f t="shared" si="22"/>
        <v>850</v>
      </c>
      <c r="G50" s="15">
        <f t="shared" si="22"/>
        <v>26.687000000000001</v>
      </c>
      <c r="H50" s="32">
        <f t="shared" si="22"/>
        <v>30.910000000000004</v>
      </c>
      <c r="I50" s="15">
        <f t="shared" si="22"/>
        <v>25.955000000000002</v>
      </c>
      <c r="J50" s="32">
        <f t="shared" si="22"/>
        <v>30.150000000000002</v>
      </c>
      <c r="K50" s="15">
        <f t="shared" si="22"/>
        <v>97.875</v>
      </c>
      <c r="L50" s="32">
        <f t="shared" si="22"/>
        <v>106.75</v>
      </c>
      <c r="M50" s="15">
        <f t="shared" si="22"/>
        <v>731.84299999999996</v>
      </c>
      <c r="N50" s="34">
        <f t="shared" si="22"/>
        <v>821.99000000000012</v>
      </c>
    </row>
    <row r="51" spans="2:14" x14ac:dyDescent="0.3">
      <c r="B51" s="187" t="s">
        <v>126</v>
      </c>
      <c r="C51" s="194" t="s">
        <v>164</v>
      </c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N51" s="191"/>
    </row>
    <row r="52" spans="2:14" x14ac:dyDescent="0.3">
      <c r="B52" s="188"/>
      <c r="C52" s="89" t="s">
        <v>97</v>
      </c>
      <c r="D52" s="9" t="s">
        <v>138</v>
      </c>
      <c r="E52" s="55">
        <v>90</v>
      </c>
      <c r="F52" s="24">
        <v>100</v>
      </c>
      <c r="G52" s="17">
        <f>E52*18.2/100</f>
        <v>16.38</v>
      </c>
      <c r="H52" s="25">
        <f>F52*18.2/100</f>
        <v>18.2</v>
      </c>
      <c r="I52" s="17">
        <f>E52*7.55/100</f>
        <v>6.7949999999999999</v>
      </c>
      <c r="J52" s="25">
        <f>F52*7.55/100</f>
        <v>7.55</v>
      </c>
      <c r="K52" s="17">
        <f>E52*2.3/100</f>
        <v>2.0699999999999998</v>
      </c>
      <c r="L52" s="25">
        <f>F52*2.3/100</f>
        <v>2.2999999999999998</v>
      </c>
      <c r="M52" s="17">
        <f t="shared" ref="M52:M56" si="23">G52*4+I52*9+K52*4</f>
        <v>134.95499999999998</v>
      </c>
      <c r="N52" s="27">
        <f t="shared" ref="N52:N56" si="24">H52*4+J52*9+L52*4</f>
        <v>149.94999999999999</v>
      </c>
    </row>
    <row r="53" spans="2:14" x14ac:dyDescent="0.3">
      <c r="B53" s="188"/>
      <c r="C53" s="16" t="s">
        <v>100</v>
      </c>
      <c r="D53" s="6" t="s">
        <v>101</v>
      </c>
      <c r="E53" s="55">
        <v>150</v>
      </c>
      <c r="F53" s="24">
        <v>200</v>
      </c>
      <c r="G53" s="17">
        <f>E53*5.67/100</f>
        <v>8.5050000000000008</v>
      </c>
      <c r="H53" s="25">
        <f>F53*5.67/100</f>
        <v>11.34</v>
      </c>
      <c r="I53" s="17">
        <f>E53*4.24/100</f>
        <v>6.36</v>
      </c>
      <c r="J53" s="25">
        <f>F53*4.24/100</f>
        <v>8.48</v>
      </c>
      <c r="K53" s="17">
        <f>E53*25.13/100</f>
        <v>37.695</v>
      </c>
      <c r="L53" s="25">
        <f>F53*25.13/100</f>
        <v>50.26</v>
      </c>
      <c r="M53" s="17">
        <f t="shared" si="23"/>
        <v>242.04000000000002</v>
      </c>
      <c r="N53" s="27">
        <f t="shared" si="24"/>
        <v>322.72000000000003</v>
      </c>
    </row>
    <row r="54" spans="2:14" x14ac:dyDescent="0.3">
      <c r="B54" s="188"/>
      <c r="C54" s="99" t="s">
        <v>98</v>
      </c>
      <c r="D54" s="73" t="s">
        <v>99</v>
      </c>
      <c r="E54" s="74">
        <v>200</v>
      </c>
      <c r="F54" s="75">
        <v>200</v>
      </c>
      <c r="G54" s="76">
        <f>E54*0.05/100</f>
        <v>0.1</v>
      </c>
      <c r="H54" s="77">
        <f>F54*0.05/100</f>
        <v>0.1</v>
      </c>
      <c r="I54" s="76">
        <f>E54*0.05/100</f>
        <v>0.1</v>
      </c>
      <c r="J54" s="77">
        <f>F54*0.05/100</f>
        <v>0.1</v>
      </c>
      <c r="K54" s="76">
        <f>E54*5.55/100</f>
        <v>11.1</v>
      </c>
      <c r="L54" s="77">
        <f>F54*5.55/100</f>
        <v>11.1</v>
      </c>
      <c r="M54" s="76">
        <f t="shared" si="23"/>
        <v>45.699999999999996</v>
      </c>
      <c r="N54" s="78">
        <f t="shared" si="24"/>
        <v>45.699999999999996</v>
      </c>
    </row>
    <row r="55" spans="2:14" x14ac:dyDescent="0.3">
      <c r="B55" s="188"/>
      <c r="C55" s="16" t="s">
        <v>56</v>
      </c>
      <c r="D55" s="6" t="s">
        <v>16</v>
      </c>
      <c r="E55" s="45">
        <v>20</v>
      </c>
      <c r="F55" s="46">
        <v>20</v>
      </c>
      <c r="G55" s="17">
        <f>E55*8/100</f>
        <v>1.6</v>
      </c>
      <c r="H55" s="25">
        <f>F55*8/100</f>
        <v>1.6</v>
      </c>
      <c r="I55" s="17">
        <f>E55*1.5/100</f>
        <v>0.3</v>
      </c>
      <c r="J55" s="25">
        <f>F55*1.5/100</f>
        <v>0.3</v>
      </c>
      <c r="K55" s="17">
        <f>E55*40.1/100</f>
        <v>8.02</v>
      </c>
      <c r="L55" s="25">
        <f>F55*40.1/100</f>
        <v>8.02</v>
      </c>
      <c r="M55" s="17">
        <f t="shared" si="23"/>
        <v>41.18</v>
      </c>
      <c r="N55" s="27">
        <f t="shared" si="24"/>
        <v>41.18</v>
      </c>
    </row>
    <row r="56" spans="2:14" x14ac:dyDescent="0.3">
      <c r="B56" s="188"/>
      <c r="C56" s="16" t="s">
        <v>57</v>
      </c>
      <c r="D56" s="6" t="s">
        <v>58</v>
      </c>
      <c r="E56" s="45">
        <v>40</v>
      </c>
      <c r="F56" s="46">
        <v>40</v>
      </c>
      <c r="G56" s="17">
        <f>E56*7.6/100</f>
        <v>3.04</v>
      </c>
      <c r="H56" s="25">
        <f>F56*7.6/100</f>
        <v>3.04</v>
      </c>
      <c r="I56" s="17">
        <f>E56*0.8/100</f>
        <v>0.32</v>
      </c>
      <c r="J56" s="25">
        <f>F56*0.8/100</f>
        <v>0.32</v>
      </c>
      <c r="K56" s="17">
        <f>E56*49.2/100</f>
        <v>19.68</v>
      </c>
      <c r="L56" s="25">
        <f>F56*49.2/100</f>
        <v>19.68</v>
      </c>
      <c r="M56" s="17">
        <f t="shared" si="23"/>
        <v>93.759999999999991</v>
      </c>
      <c r="N56" s="27">
        <f t="shared" si="24"/>
        <v>93.759999999999991</v>
      </c>
    </row>
    <row r="57" spans="2:14" x14ac:dyDescent="0.3">
      <c r="B57" s="188"/>
      <c r="C57" s="100"/>
      <c r="D57" s="4" t="s">
        <v>165</v>
      </c>
      <c r="E57" s="19">
        <f t="shared" ref="E57:N57" si="25">SUM(E52:E56)</f>
        <v>500</v>
      </c>
      <c r="F57" s="90">
        <f t="shared" si="25"/>
        <v>560</v>
      </c>
      <c r="G57" s="7">
        <f t="shared" si="25"/>
        <v>29.625</v>
      </c>
      <c r="H57" s="26">
        <f t="shared" si="25"/>
        <v>34.28</v>
      </c>
      <c r="I57" s="7">
        <f t="shared" si="25"/>
        <v>13.875000000000002</v>
      </c>
      <c r="J57" s="90">
        <f t="shared" si="25"/>
        <v>16.750000000000004</v>
      </c>
      <c r="K57" s="7">
        <f t="shared" si="25"/>
        <v>78.564999999999998</v>
      </c>
      <c r="L57" s="26">
        <f t="shared" si="25"/>
        <v>91.359999999999985</v>
      </c>
      <c r="M57" s="7">
        <f t="shared" si="25"/>
        <v>557.63499999999999</v>
      </c>
      <c r="N57" s="28">
        <f t="shared" si="25"/>
        <v>653.30999999999995</v>
      </c>
    </row>
    <row r="58" spans="2:14" x14ac:dyDescent="0.3">
      <c r="B58" s="188"/>
      <c r="C58" s="195" t="s">
        <v>8</v>
      </c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93"/>
    </row>
    <row r="59" spans="2:14" x14ac:dyDescent="0.3">
      <c r="B59" s="188"/>
      <c r="C59" s="89" t="s">
        <v>79</v>
      </c>
      <c r="D59" s="83" t="s">
        <v>80</v>
      </c>
      <c r="E59" s="88">
        <v>200</v>
      </c>
      <c r="F59" s="35">
        <v>250</v>
      </c>
      <c r="G59" s="17">
        <f>E59*1.84/100</f>
        <v>3.68</v>
      </c>
      <c r="H59" s="25">
        <f>F59*1.84/100</f>
        <v>4.5999999999999996</v>
      </c>
      <c r="I59" s="17">
        <f>E59*2.91/100</f>
        <v>5.82</v>
      </c>
      <c r="J59" s="25">
        <f>F59*2.91/100</f>
        <v>7.2750000000000004</v>
      </c>
      <c r="K59" s="17">
        <f>E59*5.62/100</f>
        <v>11.24</v>
      </c>
      <c r="L59" s="25">
        <f>F59*5.62/100</f>
        <v>14.05</v>
      </c>
      <c r="M59" s="18">
        <f t="shared" ref="M59:N64" si="26">G59*4+I59*9+K59*4</f>
        <v>112.06</v>
      </c>
      <c r="N59" s="33">
        <f t="shared" si="26"/>
        <v>140.07499999999999</v>
      </c>
    </row>
    <row r="60" spans="2:14" x14ac:dyDescent="0.3">
      <c r="B60" s="188"/>
      <c r="C60" s="89" t="s">
        <v>97</v>
      </c>
      <c r="D60" s="9" t="s">
        <v>138</v>
      </c>
      <c r="E60" s="55">
        <v>100</v>
      </c>
      <c r="F60" s="24">
        <v>100</v>
      </c>
      <c r="G60" s="17">
        <f>E60*18.2/100</f>
        <v>18.2</v>
      </c>
      <c r="H60" s="25">
        <f>F60*18.2/100</f>
        <v>18.2</v>
      </c>
      <c r="I60" s="17">
        <f>E60*7.55/100</f>
        <v>7.55</v>
      </c>
      <c r="J60" s="25">
        <f>F60*7.55/100</f>
        <v>7.55</v>
      </c>
      <c r="K60" s="17">
        <f>E60*2.3/100</f>
        <v>2.2999999999999998</v>
      </c>
      <c r="L60" s="25">
        <f>F60*2.3/100</f>
        <v>2.2999999999999998</v>
      </c>
      <c r="M60" s="17">
        <f t="shared" si="26"/>
        <v>149.94999999999999</v>
      </c>
      <c r="N60" s="27">
        <f t="shared" si="26"/>
        <v>149.94999999999999</v>
      </c>
    </row>
    <row r="61" spans="2:14" x14ac:dyDescent="0.3">
      <c r="B61" s="188"/>
      <c r="C61" s="16" t="s">
        <v>100</v>
      </c>
      <c r="D61" s="6" t="s">
        <v>101</v>
      </c>
      <c r="E61" s="55">
        <v>150</v>
      </c>
      <c r="F61" s="24">
        <v>200</v>
      </c>
      <c r="G61" s="17">
        <f>E61*5.67/100</f>
        <v>8.5050000000000008</v>
      </c>
      <c r="H61" s="25">
        <f>F61*5.67/100</f>
        <v>11.34</v>
      </c>
      <c r="I61" s="17">
        <f>E61*4.24/100</f>
        <v>6.36</v>
      </c>
      <c r="J61" s="25">
        <f>F61*4.24/100</f>
        <v>8.48</v>
      </c>
      <c r="K61" s="17">
        <f>E61*25.13/100</f>
        <v>37.695</v>
      </c>
      <c r="L61" s="25">
        <f>F61*25.13/100</f>
        <v>50.26</v>
      </c>
      <c r="M61" s="17">
        <f t="shared" si="26"/>
        <v>242.04000000000002</v>
      </c>
      <c r="N61" s="27">
        <f t="shared" si="26"/>
        <v>322.72000000000003</v>
      </c>
    </row>
    <row r="62" spans="2:14" x14ac:dyDescent="0.3">
      <c r="B62" s="188"/>
      <c r="C62" s="99" t="s">
        <v>98</v>
      </c>
      <c r="D62" s="73" t="s">
        <v>99</v>
      </c>
      <c r="E62" s="74">
        <v>200</v>
      </c>
      <c r="F62" s="75">
        <v>200</v>
      </c>
      <c r="G62" s="76">
        <f>E62*0.05/100</f>
        <v>0.1</v>
      </c>
      <c r="H62" s="77">
        <f>F62*0.05/100</f>
        <v>0.1</v>
      </c>
      <c r="I62" s="76">
        <f>E62*0.05/100</f>
        <v>0.1</v>
      </c>
      <c r="J62" s="77">
        <f>F62*0.05/100</f>
        <v>0.1</v>
      </c>
      <c r="K62" s="76">
        <f>E62*5.55/100</f>
        <v>11.1</v>
      </c>
      <c r="L62" s="77">
        <f>F62*5.55/100</f>
        <v>11.1</v>
      </c>
      <c r="M62" s="76">
        <f t="shared" si="26"/>
        <v>45.699999999999996</v>
      </c>
      <c r="N62" s="78">
        <f t="shared" si="26"/>
        <v>45.699999999999996</v>
      </c>
    </row>
    <row r="63" spans="2:14" x14ac:dyDescent="0.3">
      <c r="B63" s="188"/>
      <c r="C63" s="16" t="s">
        <v>56</v>
      </c>
      <c r="D63" s="6" t="s">
        <v>16</v>
      </c>
      <c r="E63" s="45">
        <v>25</v>
      </c>
      <c r="F63" s="46">
        <v>25</v>
      </c>
      <c r="G63" s="17">
        <f>E63*8/100</f>
        <v>2</v>
      </c>
      <c r="H63" s="25">
        <f>F63*8/100</f>
        <v>2</v>
      </c>
      <c r="I63" s="17">
        <f>E63*1.5/100</f>
        <v>0.375</v>
      </c>
      <c r="J63" s="25">
        <f>F63*1.5/100</f>
        <v>0.375</v>
      </c>
      <c r="K63" s="17">
        <f>E63*40.1/100</f>
        <v>10.025</v>
      </c>
      <c r="L63" s="25">
        <f>F63*40.1/100</f>
        <v>10.025</v>
      </c>
      <c r="M63" s="17">
        <f t="shared" si="26"/>
        <v>51.475000000000001</v>
      </c>
      <c r="N63" s="27">
        <f t="shared" si="26"/>
        <v>51.475000000000001</v>
      </c>
    </row>
    <row r="64" spans="2:14" x14ac:dyDescent="0.3">
      <c r="B64" s="188"/>
      <c r="C64" s="16" t="s">
        <v>57</v>
      </c>
      <c r="D64" s="6" t="s">
        <v>58</v>
      </c>
      <c r="E64" s="45">
        <v>50</v>
      </c>
      <c r="F64" s="46">
        <v>50</v>
      </c>
      <c r="G64" s="17">
        <f>E64*7.6/100</f>
        <v>3.8</v>
      </c>
      <c r="H64" s="25">
        <f>F64*7.6/100</f>
        <v>3.8</v>
      </c>
      <c r="I64" s="17">
        <f>E64*0.8/100</f>
        <v>0.4</v>
      </c>
      <c r="J64" s="25">
        <f>F64*0.8/100</f>
        <v>0.4</v>
      </c>
      <c r="K64" s="17">
        <f>E64*49.2/100</f>
        <v>24.6</v>
      </c>
      <c r="L64" s="25">
        <f>F64*49.2/100</f>
        <v>24.6</v>
      </c>
      <c r="M64" s="17">
        <f t="shared" si="26"/>
        <v>117.2</v>
      </c>
      <c r="N64" s="27">
        <f t="shared" si="26"/>
        <v>117.2</v>
      </c>
    </row>
    <row r="65" spans="2:14" ht="15" thickBot="1" x14ac:dyDescent="0.35">
      <c r="B65" s="189"/>
      <c r="C65" s="20"/>
      <c r="D65" s="13" t="s">
        <v>11</v>
      </c>
      <c r="E65" s="69">
        <f t="shared" ref="E65:N65" si="27">SUM(E59:E64)</f>
        <v>725</v>
      </c>
      <c r="F65" s="70">
        <f t="shared" si="27"/>
        <v>825</v>
      </c>
      <c r="G65" s="15">
        <f t="shared" si="27"/>
        <v>36.284999999999997</v>
      </c>
      <c r="H65" s="32">
        <f t="shared" si="27"/>
        <v>40.04</v>
      </c>
      <c r="I65" s="15">
        <f t="shared" si="27"/>
        <v>20.605</v>
      </c>
      <c r="J65" s="32">
        <f t="shared" si="27"/>
        <v>24.18</v>
      </c>
      <c r="K65" s="15">
        <f t="shared" si="27"/>
        <v>96.960000000000008</v>
      </c>
      <c r="L65" s="32">
        <f t="shared" si="27"/>
        <v>112.33500000000001</v>
      </c>
      <c r="M65" s="15">
        <f t="shared" si="27"/>
        <v>718.42500000000007</v>
      </c>
      <c r="N65" s="34">
        <f t="shared" si="27"/>
        <v>827.12000000000012</v>
      </c>
    </row>
    <row r="70" spans="2:14" x14ac:dyDescent="0.3">
      <c r="D70" s="12" t="s">
        <v>17</v>
      </c>
    </row>
  </sheetData>
  <mergeCells count="24">
    <mergeCell ref="D12:M12"/>
    <mergeCell ref="C2:G2"/>
    <mergeCell ref="C4:F4"/>
    <mergeCell ref="C5:F5"/>
    <mergeCell ref="D10:N10"/>
    <mergeCell ref="D11:M11"/>
    <mergeCell ref="B17:B33"/>
    <mergeCell ref="C17:N17"/>
    <mergeCell ref="C25:N25"/>
    <mergeCell ref="B14:B16"/>
    <mergeCell ref="C14:C16"/>
    <mergeCell ref="D14:D16"/>
    <mergeCell ref="E14:F15"/>
    <mergeCell ref="G14:L14"/>
    <mergeCell ref="M14:N15"/>
    <mergeCell ref="G15:H15"/>
    <mergeCell ref="I15:J15"/>
    <mergeCell ref="K15:L15"/>
    <mergeCell ref="B34:B50"/>
    <mergeCell ref="C34:N34"/>
    <mergeCell ref="C42:N42"/>
    <mergeCell ref="B51:B65"/>
    <mergeCell ref="C51:N51"/>
    <mergeCell ref="C58:N58"/>
  </mergeCells>
  <pageMargins left="0.23622047244094491" right="0" top="0.19685039370078741" bottom="0.19685039370078741" header="0.31496062992125984" footer="0.31496062992125984"/>
  <pageSetup paperSize="9" scale="70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Z63"/>
  <sheetViews>
    <sheetView zoomScale="90" zoomScaleNormal="90" zoomScalePageLayoutView="90" workbookViewId="0">
      <selection activeCell="U36" sqref="U36"/>
    </sheetView>
  </sheetViews>
  <sheetFormatPr defaultColWidth="9.109375" defaultRowHeight="14.4" x14ac:dyDescent="0.3"/>
  <cols>
    <col min="1" max="1" width="6.44140625" style="12" customWidth="1"/>
    <col min="2" max="2" width="2.6640625" style="12" customWidth="1"/>
    <col min="3" max="3" width="10.5546875" style="12" customWidth="1"/>
    <col min="4" max="4" width="42.6640625" style="12" customWidth="1"/>
    <col min="5" max="6" width="7.33203125" style="12" customWidth="1"/>
    <col min="7" max="7" width="6.6640625" style="12" customWidth="1"/>
    <col min="8" max="8" width="6.88671875" style="12" customWidth="1"/>
    <col min="9" max="9" width="6.44140625" style="12" customWidth="1"/>
    <col min="10" max="10" width="6.5546875" style="12" customWidth="1"/>
    <col min="11" max="11" width="7.5546875" style="12" customWidth="1"/>
    <col min="12" max="12" width="7.44140625" style="12" customWidth="1"/>
    <col min="13" max="13" width="8.5546875" style="12" customWidth="1"/>
    <col min="14" max="14" width="9.5546875" style="12" customWidth="1"/>
    <col min="15" max="15" width="9" style="12" customWidth="1"/>
    <col min="16" max="16" width="7.33203125" style="12" customWidth="1"/>
    <col min="17" max="20" width="9.109375" style="12"/>
    <col min="21" max="21" width="7.33203125" style="12" customWidth="1"/>
    <col min="22" max="22" width="7.6640625" style="12" customWidth="1"/>
    <col min="23" max="23" width="9.109375" style="12"/>
    <col min="24" max="24" width="7.6640625" style="12" customWidth="1"/>
    <col min="25" max="16384" width="9.109375" style="12"/>
  </cols>
  <sheetData>
    <row r="2" spans="2:26" ht="15" customHeight="1" thickBot="1" x14ac:dyDescent="0.3">
      <c r="O2" s="2"/>
      <c r="P2" s="2"/>
      <c r="Q2" s="1"/>
      <c r="R2" s="1"/>
      <c r="S2" s="1"/>
      <c r="T2" s="1"/>
      <c r="U2" s="2"/>
      <c r="V2" s="2"/>
      <c r="W2" s="1"/>
      <c r="X2" s="1"/>
      <c r="Y2" s="1"/>
      <c r="Z2" s="1"/>
    </row>
    <row r="3" spans="2:26" ht="15" customHeight="1" x14ac:dyDescent="0.3">
      <c r="B3" s="196" t="s">
        <v>33</v>
      </c>
      <c r="C3" s="199" t="s">
        <v>0</v>
      </c>
      <c r="D3" s="202" t="s">
        <v>1</v>
      </c>
      <c r="E3" s="205" t="s">
        <v>6</v>
      </c>
      <c r="F3" s="206"/>
      <c r="G3" s="209" t="s">
        <v>7</v>
      </c>
      <c r="H3" s="209"/>
      <c r="I3" s="209"/>
      <c r="J3" s="209"/>
      <c r="K3" s="209"/>
      <c r="L3" s="209"/>
      <c r="M3" s="210" t="s">
        <v>5</v>
      </c>
      <c r="N3" s="211"/>
      <c r="O3" s="1"/>
      <c r="P3" s="3"/>
      <c r="Q3" s="5"/>
      <c r="R3" s="5"/>
      <c r="S3" s="5"/>
      <c r="T3" s="5"/>
      <c r="U3" s="1"/>
      <c r="V3" s="3"/>
      <c r="W3" s="5"/>
      <c r="X3" s="5"/>
      <c r="Y3" s="5"/>
      <c r="Z3" s="5"/>
    </row>
    <row r="4" spans="2:26" x14ac:dyDescent="0.3">
      <c r="B4" s="197"/>
      <c r="C4" s="200"/>
      <c r="D4" s="203"/>
      <c r="E4" s="207"/>
      <c r="F4" s="208"/>
      <c r="G4" s="214" t="s">
        <v>3</v>
      </c>
      <c r="H4" s="214"/>
      <c r="I4" s="212" t="s">
        <v>2</v>
      </c>
      <c r="J4" s="212"/>
      <c r="K4" s="214" t="s">
        <v>4</v>
      </c>
      <c r="L4" s="214"/>
      <c r="M4" s="212"/>
      <c r="N4" s="213"/>
      <c r="O4" s="1"/>
      <c r="P4" s="3"/>
      <c r="Q4" s="5"/>
      <c r="R4" s="5"/>
      <c r="S4" s="5"/>
      <c r="T4" s="5"/>
      <c r="U4" s="1"/>
      <c r="V4" s="3"/>
      <c r="W4" s="5"/>
      <c r="X4" s="5"/>
      <c r="Y4" s="5"/>
      <c r="Z4" s="5"/>
    </row>
    <row r="5" spans="2:26" ht="27.75" customHeight="1" thickBot="1" x14ac:dyDescent="0.35">
      <c r="B5" s="198"/>
      <c r="C5" s="201"/>
      <c r="D5" s="204"/>
      <c r="E5" s="21" t="s">
        <v>12</v>
      </c>
      <c r="F5" s="22" t="s">
        <v>38</v>
      </c>
      <c r="G5" s="21" t="s">
        <v>12</v>
      </c>
      <c r="H5" s="22" t="s">
        <v>38</v>
      </c>
      <c r="I5" s="21" t="s">
        <v>12</v>
      </c>
      <c r="J5" s="22" t="s">
        <v>38</v>
      </c>
      <c r="K5" s="21" t="s">
        <v>12</v>
      </c>
      <c r="L5" s="22" t="s">
        <v>38</v>
      </c>
      <c r="M5" s="21" t="s">
        <v>12</v>
      </c>
      <c r="N5" s="23" t="s">
        <v>38</v>
      </c>
      <c r="O5" s="1"/>
      <c r="P5" s="3"/>
      <c r="Q5" s="5"/>
      <c r="R5" s="5"/>
      <c r="S5" s="5"/>
      <c r="T5" s="5"/>
      <c r="U5" s="1"/>
      <c r="V5" s="3"/>
      <c r="W5" s="5"/>
      <c r="X5" s="5"/>
      <c r="Y5" s="5"/>
      <c r="Z5" s="5"/>
    </row>
    <row r="6" spans="2:26" x14ac:dyDescent="0.3">
      <c r="B6" s="187" t="s">
        <v>127</v>
      </c>
      <c r="C6" s="194" t="s">
        <v>164</v>
      </c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1"/>
      <c r="O6" s="1"/>
      <c r="P6" s="3"/>
      <c r="Q6" s="5"/>
      <c r="R6" s="5"/>
      <c r="S6" s="5"/>
      <c r="T6" s="5"/>
      <c r="U6" s="1"/>
      <c r="V6" s="3"/>
      <c r="W6" s="5"/>
      <c r="X6" s="5"/>
      <c r="Y6" s="5"/>
      <c r="Z6" s="5"/>
    </row>
    <row r="7" spans="2:26" x14ac:dyDescent="0.3">
      <c r="B7" s="188"/>
      <c r="C7" s="103" t="s">
        <v>139</v>
      </c>
      <c r="D7" s="9" t="s">
        <v>140</v>
      </c>
      <c r="E7" s="55">
        <v>90</v>
      </c>
      <c r="F7" s="24">
        <v>100</v>
      </c>
      <c r="G7" s="17">
        <f>E7*10.9/100</f>
        <v>9.81</v>
      </c>
      <c r="H7" s="25">
        <f>F7*10.9/100</f>
        <v>10.9</v>
      </c>
      <c r="I7" s="17">
        <f>E7*16.4/100</f>
        <v>14.759999999999998</v>
      </c>
      <c r="J7" s="25">
        <f>F7*16.4/100</f>
        <v>16.399999999999999</v>
      </c>
      <c r="K7" s="17">
        <f>E7*8.8/100</f>
        <v>7.9200000000000008</v>
      </c>
      <c r="L7" s="25">
        <f>F7*8.8/100</f>
        <v>8.8000000000000007</v>
      </c>
      <c r="M7" s="17">
        <f t="shared" ref="M7:M12" si="0">G7*4+I7*9+K7*4</f>
        <v>203.76</v>
      </c>
      <c r="N7" s="27">
        <f t="shared" ref="N7:N12" si="1">H7*4+J7*9+L7*4</f>
        <v>226.39999999999998</v>
      </c>
      <c r="O7" s="1"/>
      <c r="P7" s="3"/>
      <c r="Q7" s="5"/>
      <c r="R7" s="5"/>
      <c r="S7" s="5"/>
      <c r="T7" s="5"/>
      <c r="U7" s="1"/>
      <c r="V7" s="3"/>
      <c r="W7" s="5"/>
      <c r="X7" s="5"/>
      <c r="Y7" s="5"/>
      <c r="Z7" s="5"/>
    </row>
    <row r="8" spans="2:26" x14ac:dyDescent="0.3">
      <c r="B8" s="188"/>
      <c r="C8" s="16" t="s">
        <v>153</v>
      </c>
      <c r="D8" s="6" t="s">
        <v>170</v>
      </c>
      <c r="E8" s="55">
        <v>150</v>
      </c>
      <c r="F8" s="24">
        <v>180</v>
      </c>
      <c r="G8" s="17">
        <f>E8*3/100</f>
        <v>4.5</v>
      </c>
      <c r="H8" s="25">
        <f>F8*3/100</f>
        <v>5.4</v>
      </c>
      <c r="I8" s="17">
        <f>E8*4.1/100</f>
        <v>6.15</v>
      </c>
      <c r="J8" s="25">
        <f>F8*4.1/100</f>
        <v>7.379999999999999</v>
      </c>
      <c r="K8" s="17">
        <f>E8*16.6/100</f>
        <v>24.9</v>
      </c>
      <c r="L8" s="25">
        <f>F8*16.6/100</f>
        <v>29.880000000000006</v>
      </c>
      <c r="M8" s="17">
        <f t="shared" si="0"/>
        <v>172.95</v>
      </c>
      <c r="N8" s="27">
        <f t="shared" si="1"/>
        <v>207.54000000000002</v>
      </c>
      <c r="O8" s="1"/>
      <c r="P8" s="3"/>
      <c r="Q8" s="5"/>
      <c r="R8" s="5"/>
      <c r="S8" s="5"/>
      <c r="T8" s="5"/>
      <c r="U8" s="1"/>
      <c r="V8" s="3"/>
      <c r="W8" s="5"/>
      <c r="X8" s="5"/>
      <c r="Y8" s="5"/>
      <c r="Z8" s="5"/>
    </row>
    <row r="9" spans="2:26" x14ac:dyDescent="0.3">
      <c r="B9" s="188"/>
      <c r="C9" s="103" t="s">
        <v>48</v>
      </c>
      <c r="D9" s="9" t="s">
        <v>49</v>
      </c>
      <c r="E9" s="55">
        <v>40</v>
      </c>
      <c r="F9" s="24">
        <v>50</v>
      </c>
      <c r="G9" s="17">
        <f>E9*1.3/50</f>
        <v>1.04</v>
      </c>
      <c r="H9" s="25">
        <f>F9*1.3/50</f>
        <v>1.3</v>
      </c>
      <c r="I9" s="17">
        <f>E9*4.8/50</f>
        <v>3.84</v>
      </c>
      <c r="J9" s="25">
        <f>F9*4.8/50</f>
        <v>4.8</v>
      </c>
      <c r="K9" s="17">
        <f>E9*4.7/50</f>
        <v>3.76</v>
      </c>
      <c r="L9" s="25">
        <f>F9*4.7/50</f>
        <v>4.7</v>
      </c>
      <c r="M9" s="17">
        <f t="shared" si="0"/>
        <v>53.76</v>
      </c>
      <c r="N9" s="27">
        <f t="shared" si="1"/>
        <v>67.2</v>
      </c>
      <c r="O9" s="1"/>
      <c r="P9" s="3"/>
      <c r="Q9" s="5"/>
      <c r="R9" s="5"/>
      <c r="S9" s="5"/>
      <c r="T9" s="5"/>
      <c r="U9" s="1"/>
      <c r="V9" s="3"/>
      <c r="W9" s="5"/>
      <c r="X9" s="5"/>
      <c r="Y9" s="5"/>
      <c r="Z9" s="5"/>
    </row>
    <row r="10" spans="2:26" x14ac:dyDescent="0.3">
      <c r="B10" s="188"/>
      <c r="C10" s="103" t="s">
        <v>75</v>
      </c>
      <c r="D10" s="9" t="s">
        <v>76</v>
      </c>
      <c r="E10" s="55">
        <v>200</v>
      </c>
      <c r="F10" s="24">
        <v>200</v>
      </c>
      <c r="G10" s="17">
        <f>E10*0.67/200</f>
        <v>0.67</v>
      </c>
      <c r="H10" s="25">
        <f>F10*0.67/200</f>
        <v>0.67</v>
      </c>
      <c r="I10" s="17">
        <f>E10*0.27/200</f>
        <v>0.27</v>
      </c>
      <c r="J10" s="25">
        <f>F10*0.27/200</f>
        <v>0.27</v>
      </c>
      <c r="K10" s="17">
        <f>E10*18.3/200</f>
        <v>18.3</v>
      </c>
      <c r="L10" s="25">
        <f>F10*18.3/200</f>
        <v>18.3</v>
      </c>
      <c r="M10" s="17">
        <f t="shared" si="0"/>
        <v>78.31</v>
      </c>
      <c r="N10" s="27">
        <f t="shared" si="1"/>
        <v>78.31</v>
      </c>
      <c r="O10" s="1"/>
      <c r="P10" s="3"/>
      <c r="Q10" s="5"/>
      <c r="R10" s="5"/>
      <c r="S10" s="5"/>
      <c r="T10" s="5"/>
      <c r="U10" s="1"/>
      <c r="V10" s="3"/>
      <c r="W10" s="5"/>
      <c r="X10" s="5"/>
      <c r="Y10" s="5"/>
      <c r="Z10" s="5"/>
    </row>
    <row r="11" spans="2:26" x14ac:dyDescent="0.3">
      <c r="B11" s="188"/>
      <c r="C11" s="16" t="s">
        <v>56</v>
      </c>
      <c r="D11" s="6" t="s">
        <v>16</v>
      </c>
      <c r="E11" s="45">
        <v>20</v>
      </c>
      <c r="F11" s="46">
        <v>20</v>
      </c>
      <c r="G11" s="17">
        <f>E11*8/100</f>
        <v>1.6</v>
      </c>
      <c r="H11" s="25">
        <f>F11*8/100</f>
        <v>1.6</v>
      </c>
      <c r="I11" s="17">
        <f>E11*1.5/100</f>
        <v>0.3</v>
      </c>
      <c r="J11" s="25">
        <f>F11*1.5/100</f>
        <v>0.3</v>
      </c>
      <c r="K11" s="17">
        <f>E11*40.1/100</f>
        <v>8.02</v>
      </c>
      <c r="L11" s="25">
        <f>F11*40.1/100</f>
        <v>8.02</v>
      </c>
      <c r="M11" s="17">
        <f t="shared" si="0"/>
        <v>41.18</v>
      </c>
      <c r="N11" s="27">
        <f t="shared" si="1"/>
        <v>41.18</v>
      </c>
      <c r="O11" s="1"/>
      <c r="P11" s="3"/>
      <c r="Q11" s="5"/>
      <c r="R11" s="5"/>
      <c r="S11" s="5"/>
      <c r="T11" s="5"/>
      <c r="U11" s="1"/>
      <c r="V11" s="3"/>
      <c r="W11" s="5"/>
      <c r="X11" s="5"/>
      <c r="Y11" s="5"/>
      <c r="Z11" s="5"/>
    </row>
    <row r="12" spans="2:26" x14ac:dyDescent="0.3">
      <c r="B12" s="188"/>
      <c r="C12" s="16" t="s">
        <v>57</v>
      </c>
      <c r="D12" s="6" t="s">
        <v>58</v>
      </c>
      <c r="E12" s="45">
        <v>20</v>
      </c>
      <c r="F12" s="46">
        <v>20</v>
      </c>
      <c r="G12" s="17">
        <f>E12*7.6/100</f>
        <v>1.52</v>
      </c>
      <c r="H12" s="25">
        <f>F12*7.6/100</f>
        <v>1.52</v>
      </c>
      <c r="I12" s="17">
        <f>E12*0.8/100</f>
        <v>0.16</v>
      </c>
      <c r="J12" s="25">
        <f>F12*0.8/100</f>
        <v>0.16</v>
      </c>
      <c r="K12" s="17">
        <f>E12*49.2/100</f>
        <v>9.84</v>
      </c>
      <c r="L12" s="25">
        <f>F12*49.2/100</f>
        <v>9.84</v>
      </c>
      <c r="M12" s="17">
        <f t="shared" si="0"/>
        <v>46.879999999999995</v>
      </c>
      <c r="N12" s="27">
        <f t="shared" si="1"/>
        <v>46.879999999999995</v>
      </c>
      <c r="O12" s="1"/>
      <c r="P12" s="3"/>
      <c r="Q12" s="5"/>
      <c r="R12" s="5"/>
      <c r="S12" s="5"/>
      <c r="T12" s="5"/>
      <c r="U12" s="1"/>
      <c r="V12" s="3"/>
      <c r="W12" s="5"/>
      <c r="X12" s="5"/>
      <c r="Y12" s="5"/>
      <c r="Z12" s="5"/>
    </row>
    <row r="13" spans="2:26" x14ac:dyDescent="0.3">
      <c r="B13" s="188"/>
      <c r="C13" s="100"/>
      <c r="D13" s="4" t="s">
        <v>165</v>
      </c>
      <c r="E13" s="19">
        <f t="shared" ref="E13:N13" si="2">SUM(E7:E12)</f>
        <v>520</v>
      </c>
      <c r="F13" s="104">
        <f t="shared" si="2"/>
        <v>570</v>
      </c>
      <c r="G13" s="7">
        <f t="shared" si="2"/>
        <v>19.140000000000004</v>
      </c>
      <c r="H13" s="26">
        <f t="shared" si="2"/>
        <v>21.390000000000004</v>
      </c>
      <c r="I13" s="19">
        <f t="shared" si="2"/>
        <v>25.479999999999997</v>
      </c>
      <c r="J13" s="26">
        <f t="shared" si="2"/>
        <v>29.31</v>
      </c>
      <c r="K13" s="7">
        <f t="shared" si="2"/>
        <v>72.739999999999995</v>
      </c>
      <c r="L13" s="26">
        <f t="shared" si="2"/>
        <v>79.540000000000006</v>
      </c>
      <c r="M13" s="19">
        <f t="shared" si="2"/>
        <v>596.83999999999992</v>
      </c>
      <c r="N13" s="28">
        <f t="shared" si="2"/>
        <v>667.51</v>
      </c>
      <c r="O13" s="1"/>
      <c r="P13" s="3"/>
      <c r="Q13" s="5"/>
      <c r="R13" s="5"/>
      <c r="S13" s="5"/>
      <c r="T13" s="5"/>
      <c r="U13" s="1"/>
      <c r="V13" s="3"/>
      <c r="W13" s="5"/>
      <c r="X13" s="5"/>
      <c r="Y13" s="5"/>
      <c r="Z13" s="5"/>
    </row>
    <row r="14" spans="2:26" x14ac:dyDescent="0.3">
      <c r="B14" s="188"/>
      <c r="C14" s="195" t="s">
        <v>8</v>
      </c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3"/>
      <c r="O14" s="1"/>
      <c r="P14" s="3"/>
      <c r="Q14" s="5"/>
      <c r="R14" s="5"/>
      <c r="S14" s="5"/>
      <c r="T14" s="5"/>
      <c r="U14" s="1"/>
      <c r="V14" s="3"/>
      <c r="W14" s="5"/>
      <c r="X14" s="5"/>
      <c r="Y14" s="5"/>
      <c r="Z14" s="5"/>
    </row>
    <row r="15" spans="2:26" x14ac:dyDescent="0.3">
      <c r="B15" s="188"/>
      <c r="C15" s="103" t="s">
        <v>13</v>
      </c>
      <c r="D15" s="84" t="s">
        <v>59</v>
      </c>
      <c r="E15" s="102">
        <v>200</v>
      </c>
      <c r="F15" s="35">
        <v>250</v>
      </c>
      <c r="G15" s="18">
        <f>E15*2.12/100</f>
        <v>4.24</v>
      </c>
      <c r="H15" s="36">
        <f>F15*2.12/100</f>
        <v>5.3</v>
      </c>
      <c r="I15" s="18">
        <f>E15*2.78/100</f>
        <v>5.56</v>
      </c>
      <c r="J15" s="36">
        <f>F15*2.78/100</f>
        <v>6.95</v>
      </c>
      <c r="K15" s="18">
        <f>E15*7.5/100</f>
        <v>15</v>
      </c>
      <c r="L15" s="36">
        <f>F15*7.5/100</f>
        <v>18.75</v>
      </c>
      <c r="M15" s="18">
        <f t="shared" ref="M15:N20" si="3">G15*4+I15*9+K15*4</f>
        <v>127</v>
      </c>
      <c r="N15" s="33">
        <f t="shared" si="3"/>
        <v>158.75</v>
      </c>
      <c r="O15" s="1"/>
      <c r="P15" s="3"/>
      <c r="Q15" s="5"/>
      <c r="R15" s="5"/>
      <c r="S15" s="5"/>
      <c r="T15" s="5"/>
      <c r="U15" s="1"/>
      <c r="V15" s="3"/>
      <c r="W15" s="5"/>
      <c r="X15" s="5"/>
      <c r="Y15" s="5"/>
      <c r="Z15" s="5"/>
    </row>
    <row r="16" spans="2:26" x14ac:dyDescent="0.3">
      <c r="B16" s="188"/>
      <c r="C16" s="103" t="s">
        <v>139</v>
      </c>
      <c r="D16" s="9" t="s">
        <v>140</v>
      </c>
      <c r="E16" s="55">
        <v>90</v>
      </c>
      <c r="F16" s="24">
        <v>100</v>
      </c>
      <c r="G16" s="17">
        <f>E16*10.9/100</f>
        <v>9.81</v>
      </c>
      <c r="H16" s="25">
        <f>F16*10.9/100</f>
        <v>10.9</v>
      </c>
      <c r="I16" s="17">
        <f>E16*16.4/100</f>
        <v>14.759999999999998</v>
      </c>
      <c r="J16" s="25">
        <f>F16*16.4/100</f>
        <v>16.399999999999999</v>
      </c>
      <c r="K16" s="17">
        <f>E16*8.8/100</f>
        <v>7.9200000000000008</v>
      </c>
      <c r="L16" s="25">
        <f>F16*8.8/100</f>
        <v>8.8000000000000007</v>
      </c>
      <c r="M16" s="17">
        <f t="shared" si="3"/>
        <v>203.76</v>
      </c>
      <c r="N16" s="27">
        <f t="shared" si="3"/>
        <v>226.39999999999998</v>
      </c>
      <c r="O16" s="1"/>
      <c r="P16" s="3"/>
      <c r="Q16" s="5"/>
      <c r="R16" s="5"/>
      <c r="S16" s="5"/>
      <c r="T16" s="5"/>
      <c r="U16" s="1"/>
      <c r="V16" s="3"/>
      <c r="W16" s="5"/>
      <c r="X16" s="5"/>
      <c r="Y16" s="5"/>
      <c r="Z16" s="5"/>
    </row>
    <row r="17" spans="2:26" x14ac:dyDescent="0.3">
      <c r="B17" s="188"/>
      <c r="C17" s="16" t="s">
        <v>153</v>
      </c>
      <c r="D17" s="6" t="s">
        <v>170</v>
      </c>
      <c r="E17" s="55">
        <v>150</v>
      </c>
      <c r="F17" s="24">
        <v>180</v>
      </c>
      <c r="G17" s="17">
        <f>E17*3/100</f>
        <v>4.5</v>
      </c>
      <c r="H17" s="25">
        <f>F17*3/100</f>
        <v>5.4</v>
      </c>
      <c r="I17" s="17">
        <f>E17*4.1/100</f>
        <v>6.15</v>
      </c>
      <c r="J17" s="25">
        <f>F17*4.1/100</f>
        <v>7.379999999999999</v>
      </c>
      <c r="K17" s="17">
        <f>E17*16.6/100</f>
        <v>24.9</v>
      </c>
      <c r="L17" s="25">
        <f>F17*16.6/100</f>
        <v>29.880000000000006</v>
      </c>
      <c r="M17" s="17">
        <f t="shared" si="3"/>
        <v>172.95</v>
      </c>
      <c r="N17" s="27">
        <f t="shared" si="3"/>
        <v>207.54000000000002</v>
      </c>
      <c r="O17" s="1"/>
      <c r="P17" s="3"/>
      <c r="Q17" s="5"/>
      <c r="R17" s="5"/>
      <c r="S17" s="5"/>
      <c r="T17" s="5"/>
      <c r="U17" s="1"/>
      <c r="V17" s="3"/>
      <c r="W17" s="5"/>
      <c r="X17" s="5"/>
      <c r="Y17" s="5"/>
      <c r="Z17" s="5"/>
    </row>
    <row r="18" spans="2:26" x14ac:dyDescent="0.3">
      <c r="B18" s="188"/>
      <c r="C18" s="103" t="s">
        <v>75</v>
      </c>
      <c r="D18" s="9" t="s">
        <v>76</v>
      </c>
      <c r="E18" s="55">
        <v>200</v>
      </c>
      <c r="F18" s="24">
        <v>200</v>
      </c>
      <c r="G18" s="17">
        <f>E18*0.67/200</f>
        <v>0.67</v>
      </c>
      <c r="H18" s="25">
        <f>F18*0.67/200</f>
        <v>0.67</v>
      </c>
      <c r="I18" s="17">
        <f>E18*0.27/200</f>
        <v>0.27</v>
      </c>
      <c r="J18" s="25">
        <f>F18*0.27/200</f>
        <v>0.27</v>
      </c>
      <c r="K18" s="17">
        <f>E18*18.3/200</f>
        <v>18.3</v>
      </c>
      <c r="L18" s="25">
        <f>F18*18.3/200</f>
        <v>18.3</v>
      </c>
      <c r="M18" s="17">
        <f t="shared" si="3"/>
        <v>78.31</v>
      </c>
      <c r="N18" s="27">
        <f t="shared" si="3"/>
        <v>78.31</v>
      </c>
      <c r="O18" s="1"/>
      <c r="P18" s="3"/>
      <c r="Q18" s="5"/>
      <c r="R18" s="5"/>
      <c r="S18" s="5"/>
      <c r="T18" s="5"/>
      <c r="U18" s="1"/>
      <c r="V18" s="3"/>
      <c r="W18" s="5"/>
      <c r="X18" s="5"/>
      <c r="Y18" s="5"/>
      <c r="Z18" s="5"/>
    </row>
    <row r="19" spans="2:26" x14ac:dyDescent="0.3">
      <c r="B19" s="188"/>
      <c r="C19" s="16" t="s">
        <v>56</v>
      </c>
      <c r="D19" s="6" t="s">
        <v>16</v>
      </c>
      <c r="E19" s="45">
        <v>25</v>
      </c>
      <c r="F19" s="46">
        <v>25</v>
      </c>
      <c r="G19" s="17">
        <f>E19*8/100</f>
        <v>2</v>
      </c>
      <c r="H19" s="25">
        <f>F19*8/100</f>
        <v>2</v>
      </c>
      <c r="I19" s="17">
        <f>E19*1.5/100</f>
        <v>0.375</v>
      </c>
      <c r="J19" s="25">
        <f>F19*1.5/100</f>
        <v>0.375</v>
      </c>
      <c r="K19" s="17">
        <f>E19*40.1/100</f>
        <v>10.025</v>
      </c>
      <c r="L19" s="25">
        <f>F19*40.1/100</f>
        <v>10.025</v>
      </c>
      <c r="M19" s="17">
        <f t="shared" si="3"/>
        <v>51.475000000000001</v>
      </c>
      <c r="N19" s="27">
        <f t="shared" si="3"/>
        <v>51.475000000000001</v>
      </c>
      <c r="O19" s="1"/>
      <c r="P19" s="3"/>
      <c r="Q19" s="5"/>
      <c r="R19" s="5"/>
      <c r="S19" s="5"/>
      <c r="T19" s="5"/>
      <c r="U19" s="1"/>
      <c r="V19" s="3"/>
      <c r="W19" s="5"/>
      <c r="X19" s="5"/>
      <c r="Y19" s="5"/>
      <c r="Z19" s="5"/>
    </row>
    <row r="20" spans="2:26" x14ac:dyDescent="0.3">
      <c r="B20" s="188"/>
      <c r="C20" s="16" t="s">
        <v>57</v>
      </c>
      <c r="D20" s="6" t="s">
        <v>58</v>
      </c>
      <c r="E20" s="45">
        <v>50</v>
      </c>
      <c r="F20" s="46">
        <v>50</v>
      </c>
      <c r="G20" s="17">
        <f>E20*7.6/100</f>
        <v>3.8</v>
      </c>
      <c r="H20" s="25">
        <f>F20*7.6/100</f>
        <v>3.8</v>
      </c>
      <c r="I20" s="17">
        <f>E20*0.8/100</f>
        <v>0.4</v>
      </c>
      <c r="J20" s="25">
        <f>F20*0.8/100</f>
        <v>0.4</v>
      </c>
      <c r="K20" s="17">
        <f>E20*49.2/100</f>
        <v>24.6</v>
      </c>
      <c r="L20" s="25">
        <f>F20*49.2/100</f>
        <v>24.6</v>
      </c>
      <c r="M20" s="17">
        <f t="shared" si="3"/>
        <v>117.2</v>
      </c>
      <c r="N20" s="27">
        <f t="shared" si="3"/>
        <v>117.2</v>
      </c>
      <c r="O20" s="1"/>
      <c r="P20" s="3"/>
      <c r="Q20" s="5"/>
      <c r="R20" s="5"/>
      <c r="S20" s="5"/>
      <c r="T20" s="5"/>
      <c r="U20" s="1"/>
      <c r="V20" s="3"/>
      <c r="W20" s="5"/>
      <c r="X20" s="5"/>
      <c r="Y20" s="5"/>
      <c r="Z20" s="5"/>
    </row>
    <row r="21" spans="2:26" ht="15" thickBot="1" x14ac:dyDescent="0.35">
      <c r="B21" s="189"/>
      <c r="C21" s="20"/>
      <c r="D21" s="13" t="s">
        <v>11</v>
      </c>
      <c r="E21" s="69">
        <f t="shared" ref="E21:N21" si="4">SUM(E15:E20)</f>
        <v>715</v>
      </c>
      <c r="F21" s="70">
        <f t="shared" si="4"/>
        <v>805</v>
      </c>
      <c r="G21" s="15">
        <f t="shared" si="4"/>
        <v>25.020000000000003</v>
      </c>
      <c r="H21" s="32">
        <f t="shared" si="4"/>
        <v>28.070000000000004</v>
      </c>
      <c r="I21" s="69">
        <f t="shared" si="4"/>
        <v>27.514999999999997</v>
      </c>
      <c r="J21" s="32">
        <f t="shared" si="4"/>
        <v>31.774999999999995</v>
      </c>
      <c r="K21" s="15">
        <f t="shared" si="4"/>
        <v>100.745</v>
      </c>
      <c r="L21" s="32">
        <f t="shared" si="4"/>
        <v>110.35500000000002</v>
      </c>
      <c r="M21" s="15">
        <f t="shared" si="4"/>
        <v>750.69500000000005</v>
      </c>
      <c r="N21" s="34">
        <f t="shared" si="4"/>
        <v>839.67500000000007</v>
      </c>
      <c r="O21" s="1"/>
      <c r="P21" s="3"/>
      <c r="Q21" s="5"/>
      <c r="R21" s="5"/>
      <c r="S21" s="5" t="s">
        <v>17</v>
      </c>
      <c r="T21" s="5"/>
      <c r="U21" s="1"/>
      <c r="V21" s="3"/>
      <c r="W21" s="5"/>
      <c r="X21" s="5"/>
      <c r="Y21" s="5"/>
      <c r="Z21" s="5"/>
    </row>
    <row r="22" spans="2:26" x14ac:dyDescent="0.3">
      <c r="B22" s="220" t="s">
        <v>128</v>
      </c>
      <c r="C22" s="194" t="s">
        <v>164</v>
      </c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1"/>
    </row>
    <row r="23" spans="2:26" x14ac:dyDescent="0.3">
      <c r="B23" s="221"/>
      <c r="C23" s="113" t="s">
        <v>171</v>
      </c>
      <c r="D23" s="8" t="s">
        <v>172</v>
      </c>
      <c r="E23" s="55">
        <v>150</v>
      </c>
      <c r="F23" s="24">
        <v>180</v>
      </c>
      <c r="G23" s="17">
        <f>E23*11/100</f>
        <v>16.5</v>
      </c>
      <c r="H23" s="25">
        <f>F23*11/100</f>
        <v>19.8</v>
      </c>
      <c r="I23" s="17">
        <f>E23*2.5/100</f>
        <v>3.75</v>
      </c>
      <c r="J23" s="25">
        <f>F23*2.5/100</f>
        <v>4.5</v>
      </c>
      <c r="K23" s="17">
        <f>E23*19.85/100</f>
        <v>29.774999999999999</v>
      </c>
      <c r="L23" s="25">
        <f>F23*19.85/100</f>
        <v>35.730000000000004</v>
      </c>
      <c r="M23" s="17">
        <f t="shared" ref="M23:N24" si="5">G23*4+I23*9+K23*4</f>
        <v>218.85</v>
      </c>
      <c r="N23" s="27">
        <f t="shared" si="5"/>
        <v>262.62</v>
      </c>
    </row>
    <row r="24" spans="2:26" x14ac:dyDescent="0.3">
      <c r="B24" s="221"/>
      <c r="C24" s="113" t="s">
        <v>148</v>
      </c>
      <c r="D24" s="9" t="s">
        <v>149</v>
      </c>
      <c r="E24" s="55">
        <v>90</v>
      </c>
      <c r="F24" s="24">
        <v>100</v>
      </c>
      <c r="G24" s="17">
        <f>E24*13.5/100</f>
        <v>12.15</v>
      </c>
      <c r="H24" s="25">
        <f>F24*13.5/100</f>
        <v>13.5</v>
      </c>
      <c r="I24" s="17">
        <f>E24*21/100</f>
        <v>18.899999999999999</v>
      </c>
      <c r="J24" s="25">
        <f>F24*21/100</f>
        <v>21</v>
      </c>
      <c r="K24" s="17">
        <f>E24*9.9/100</f>
        <v>8.91</v>
      </c>
      <c r="L24" s="25">
        <f>F24*9.9/100</f>
        <v>9.9</v>
      </c>
      <c r="M24" s="17">
        <f t="shared" si="5"/>
        <v>254.33999999999997</v>
      </c>
      <c r="N24" s="27">
        <f t="shared" si="5"/>
        <v>282.60000000000002</v>
      </c>
    </row>
    <row r="25" spans="2:26" x14ac:dyDescent="0.3">
      <c r="B25" s="221"/>
      <c r="C25" s="113" t="s">
        <v>41</v>
      </c>
      <c r="D25" s="9" t="s">
        <v>42</v>
      </c>
      <c r="E25" s="55">
        <v>200</v>
      </c>
      <c r="F25" s="24">
        <v>200</v>
      </c>
      <c r="G25" s="17">
        <f>E25*0.6/200</f>
        <v>0.6</v>
      </c>
      <c r="H25" s="25">
        <f>F25*0.6/200</f>
        <v>0.6</v>
      </c>
      <c r="I25" s="17">
        <f t="shared" ref="I25" si="6">E25*0.1/200</f>
        <v>0.1</v>
      </c>
      <c r="J25" s="25">
        <f t="shared" ref="J25" si="7">F25*0.1/200</f>
        <v>0.1</v>
      </c>
      <c r="K25" s="17">
        <f>E25*20.1/200</f>
        <v>20.100000000000001</v>
      </c>
      <c r="L25" s="25">
        <f>F25*20.1/200</f>
        <v>20.100000000000001</v>
      </c>
      <c r="M25" s="17">
        <f t="shared" ref="M25:M27" si="8">G25*4+I25*9+K25*4</f>
        <v>83.7</v>
      </c>
      <c r="N25" s="27">
        <f t="shared" ref="N25:N27" si="9">H25*4+J25*9+L25*4</f>
        <v>83.7</v>
      </c>
    </row>
    <row r="26" spans="2:26" x14ac:dyDescent="0.3">
      <c r="B26" s="221"/>
      <c r="C26" s="16" t="s">
        <v>56</v>
      </c>
      <c r="D26" s="6" t="s">
        <v>16</v>
      </c>
      <c r="E26" s="45">
        <v>20</v>
      </c>
      <c r="F26" s="46">
        <v>20</v>
      </c>
      <c r="G26" s="17">
        <f>E26*8/100</f>
        <v>1.6</v>
      </c>
      <c r="H26" s="25">
        <f>F26*8/100</f>
        <v>1.6</v>
      </c>
      <c r="I26" s="17">
        <f>E26*1.5/100</f>
        <v>0.3</v>
      </c>
      <c r="J26" s="25">
        <f>F26*1.5/100</f>
        <v>0.3</v>
      </c>
      <c r="K26" s="17">
        <f>E26*40.1/100</f>
        <v>8.02</v>
      </c>
      <c r="L26" s="25">
        <f>F26*40.1/100</f>
        <v>8.02</v>
      </c>
      <c r="M26" s="17">
        <f t="shared" si="8"/>
        <v>41.18</v>
      </c>
      <c r="N26" s="27">
        <f t="shared" si="9"/>
        <v>41.18</v>
      </c>
    </row>
    <row r="27" spans="2:26" x14ac:dyDescent="0.3">
      <c r="B27" s="221"/>
      <c r="C27" s="16" t="s">
        <v>57</v>
      </c>
      <c r="D27" s="6" t="s">
        <v>58</v>
      </c>
      <c r="E27" s="45">
        <v>40</v>
      </c>
      <c r="F27" s="46">
        <v>50</v>
      </c>
      <c r="G27" s="17">
        <f>E27*7.6/100</f>
        <v>3.04</v>
      </c>
      <c r="H27" s="25">
        <f>F27*7.6/100</f>
        <v>3.8</v>
      </c>
      <c r="I27" s="17">
        <f>E27*0.8/100</f>
        <v>0.32</v>
      </c>
      <c r="J27" s="25">
        <f>F27*0.8/100</f>
        <v>0.4</v>
      </c>
      <c r="K27" s="17">
        <f>E27*49.2/100</f>
        <v>19.68</v>
      </c>
      <c r="L27" s="25">
        <f>F27*49.2/100</f>
        <v>24.6</v>
      </c>
      <c r="M27" s="17">
        <f t="shared" si="8"/>
        <v>93.759999999999991</v>
      </c>
      <c r="N27" s="27">
        <f t="shared" si="9"/>
        <v>117.2</v>
      </c>
    </row>
    <row r="28" spans="2:26" x14ac:dyDescent="0.3">
      <c r="B28" s="221"/>
      <c r="C28" s="100"/>
      <c r="D28" s="4" t="s">
        <v>165</v>
      </c>
      <c r="E28" s="19">
        <f t="shared" ref="E28:N28" si="10">SUM(E23:E27)</f>
        <v>500</v>
      </c>
      <c r="F28" s="114">
        <f t="shared" si="10"/>
        <v>550</v>
      </c>
      <c r="G28" s="7">
        <f t="shared" si="10"/>
        <v>33.89</v>
      </c>
      <c r="H28" s="26">
        <f t="shared" si="10"/>
        <v>39.299999999999997</v>
      </c>
      <c r="I28" s="7">
        <f t="shared" si="10"/>
        <v>23.37</v>
      </c>
      <c r="J28" s="26">
        <f t="shared" si="10"/>
        <v>26.3</v>
      </c>
      <c r="K28" s="7">
        <f t="shared" si="10"/>
        <v>86.485000000000014</v>
      </c>
      <c r="L28" s="26">
        <f t="shared" si="10"/>
        <v>98.35</v>
      </c>
      <c r="M28" s="7">
        <f t="shared" si="10"/>
        <v>691.82999999999993</v>
      </c>
      <c r="N28" s="28">
        <f t="shared" si="10"/>
        <v>787.30000000000007</v>
      </c>
    </row>
    <row r="29" spans="2:26" x14ac:dyDescent="0.3">
      <c r="B29" s="221"/>
      <c r="C29" s="195" t="s">
        <v>8</v>
      </c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3"/>
    </row>
    <row r="30" spans="2:26" x14ac:dyDescent="0.3">
      <c r="B30" s="221"/>
      <c r="C30" s="43" t="s">
        <v>50</v>
      </c>
      <c r="D30" s="83" t="s">
        <v>51</v>
      </c>
      <c r="E30" s="55">
        <v>200</v>
      </c>
      <c r="F30" s="29">
        <v>250</v>
      </c>
      <c r="G30" s="17">
        <f>E30*1.95/100</f>
        <v>3.9</v>
      </c>
      <c r="H30" s="25">
        <f>F30*1.95/100</f>
        <v>4.875</v>
      </c>
      <c r="I30" s="17">
        <f>E30*2.96/100</f>
        <v>5.92</v>
      </c>
      <c r="J30" s="25">
        <f>F30*2.96/100</f>
        <v>7.4</v>
      </c>
      <c r="K30" s="17">
        <f>E30*6.21/100</f>
        <v>12.42</v>
      </c>
      <c r="L30" s="25">
        <f>F30*6.21/100</f>
        <v>15.525</v>
      </c>
      <c r="M30" s="18">
        <f t="shared" ref="M30:N35" si="11">G30*4+I30*9+K30*4</f>
        <v>118.56</v>
      </c>
      <c r="N30" s="33">
        <f t="shared" si="11"/>
        <v>148.20000000000002</v>
      </c>
    </row>
    <row r="31" spans="2:26" x14ac:dyDescent="0.3">
      <c r="B31" s="221"/>
      <c r="C31" s="113" t="s">
        <v>171</v>
      </c>
      <c r="D31" s="8" t="s">
        <v>172</v>
      </c>
      <c r="E31" s="55">
        <v>150</v>
      </c>
      <c r="F31" s="24">
        <v>180</v>
      </c>
      <c r="G31" s="17">
        <f>E31*11/100</f>
        <v>16.5</v>
      </c>
      <c r="H31" s="25">
        <f>F31*11/100</f>
        <v>19.8</v>
      </c>
      <c r="I31" s="17">
        <f>E31*2.5/100</f>
        <v>3.75</v>
      </c>
      <c r="J31" s="25">
        <f>F31*2.5/100</f>
        <v>4.5</v>
      </c>
      <c r="K31" s="17">
        <f>E31*19.85/100</f>
        <v>29.774999999999999</v>
      </c>
      <c r="L31" s="25">
        <f>F31*19.85/100</f>
        <v>35.730000000000004</v>
      </c>
      <c r="M31" s="17">
        <f t="shared" si="11"/>
        <v>218.85</v>
      </c>
      <c r="N31" s="27">
        <f t="shared" si="11"/>
        <v>262.62</v>
      </c>
    </row>
    <row r="32" spans="2:26" x14ac:dyDescent="0.3">
      <c r="B32" s="221"/>
      <c r="C32" s="113" t="s">
        <v>148</v>
      </c>
      <c r="D32" s="9" t="s">
        <v>149</v>
      </c>
      <c r="E32" s="55">
        <v>90</v>
      </c>
      <c r="F32" s="24">
        <v>100</v>
      </c>
      <c r="G32" s="17">
        <f>E32*13.5/100</f>
        <v>12.15</v>
      </c>
      <c r="H32" s="25">
        <f>F32*13.5/100</f>
        <v>13.5</v>
      </c>
      <c r="I32" s="17">
        <f>E32*21/100</f>
        <v>18.899999999999999</v>
      </c>
      <c r="J32" s="25">
        <f>F32*21/100</f>
        <v>21</v>
      </c>
      <c r="K32" s="17">
        <f>E32*9.9/100</f>
        <v>8.91</v>
      </c>
      <c r="L32" s="25">
        <f>F32*9.9/100</f>
        <v>9.9</v>
      </c>
      <c r="M32" s="17">
        <f t="shared" si="11"/>
        <v>254.33999999999997</v>
      </c>
      <c r="N32" s="27">
        <f t="shared" si="11"/>
        <v>282.60000000000002</v>
      </c>
    </row>
    <row r="33" spans="2:14" x14ac:dyDescent="0.3">
      <c r="B33" s="221"/>
      <c r="C33" s="113" t="s">
        <v>41</v>
      </c>
      <c r="D33" s="9" t="s">
        <v>42</v>
      </c>
      <c r="E33" s="55">
        <v>200</v>
      </c>
      <c r="F33" s="24">
        <v>200</v>
      </c>
      <c r="G33" s="17">
        <f>E33*0.6/200</f>
        <v>0.6</v>
      </c>
      <c r="H33" s="25">
        <f>F33*0.6/200</f>
        <v>0.6</v>
      </c>
      <c r="I33" s="17">
        <f t="shared" ref="I33:J33" si="12">E33*0.1/200</f>
        <v>0.1</v>
      </c>
      <c r="J33" s="25">
        <f t="shared" si="12"/>
        <v>0.1</v>
      </c>
      <c r="K33" s="17">
        <f>E33*20.1/200</f>
        <v>20.100000000000001</v>
      </c>
      <c r="L33" s="25">
        <f>F33*20.1/200</f>
        <v>20.100000000000001</v>
      </c>
      <c r="M33" s="17">
        <f t="shared" si="11"/>
        <v>83.7</v>
      </c>
      <c r="N33" s="27">
        <f t="shared" si="11"/>
        <v>83.7</v>
      </c>
    </row>
    <row r="34" spans="2:14" x14ac:dyDescent="0.3">
      <c r="B34" s="221"/>
      <c r="C34" s="16" t="s">
        <v>56</v>
      </c>
      <c r="D34" s="6" t="s">
        <v>16</v>
      </c>
      <c r="E34" s="45">
        <v>25</v>
      </c>
      <c r="F34" s="46">
        <v>25</v>
      </c>
      <c r="G34" s="17">
        <f>E34*8/100</f>
        <v>2</v>
      </c>
      <c r="H34" s="25">
        <f>F34*8/100</f>
        <v>2</v>
      </c>
      <c r="I34" s="17">
        <f>E34*1.5/100</f>
        <v>0.375</v>
      </c>
      <c r="J34" s="25">
        <f>F34*1.5/100</f>
        <v>0.375</v>
      </c>
      <c r="K34" s="17">
        <f>E34*40.1/100</f>
        <v>10.025</v>
      </c>
      <c r="L34" s="25">
        <f>F34*40.1/100</f>
        <v>10.025</v>
      </c>
      <c r="M34" s="17">
        <f t="shared" si="11"/>
        <v>51.475000000000001</v>
      </c>
      <c r="N34" s="27">
        <f t="shared" si="11"/>
        <v>51.475000000000001</v>
      </c>
    </row>
    <row r="35" spans="2:14" x14ac:dyDescent="0.3">
      <c r="B35" s="221"/>
      <c r="C35" s="16" t="s">
        <v>57</v>
      </c>
      <c r="D35" s="6" t="s">
        <v>58</v>
      </c>
      <c r="E35" s="45">
        <v>50</v>
      </c>
      <c r="F35" s="46">
        <v>50</v>
      </c>
      <c r="G35" s="17">
        <f>E35*7.6/100</f>
        <v>3.8</v>
      </c>
      <c r="H35" s="25">
        <f>F35*7.6/100</f>
        <v>3.8</v>
      </c>
      <c r="I35" s="17">
        <f>E35*0.8/100</f>
        <v>0.4</v>
      </c>
      <c r="J35" s="25">
        <f>F35*0.8/100</f>
        <v>0.4</v>
      </c>
      <c r="K35" s="17">
        <f>E35*49.2/100</f>
        <v>24.6</v>
      </c>
      <c r="L35" s="25">
        <f>F35*49.2/100</f>
        <v>24.6</v>
      </c>
      <c r="M35" s="17">
        <f t="shared" si="11"/>
        <v>117.2</v>
      </c>
      <c r="N35" s="27">
        <f t="shared" si="11"/>
        <v>117.2</v>
      </c>
    </row>
    <row r="36" spans="2:14" ht="15" thickBot="1" x14ac:dyDescent="0.35">
      <c r="B36" s="222"/>
      <c r="C36" s="20"/>
      <c r="D36" s="13" t="s">
        <v>11</v>
      </c>
      <c r="E36" s="69">
        <f t="shared" ref="E36:N36" si="13">SUM(E30:E35)</f>
        <v>715</v>
      </c>
      <c r="F36" s="70">
        <f t="shared" si="13"/>
        <v>805</v>
      </c>
      <c r="G36" s="15">
        <f t="shared" si="13"/>
        <v>38.949999999999996</v>
      </c>
      <c r="H36" s="32">
        <f t="shared" si="13"/>
        <v>44.574999999999996</v>
      </c>
      <c r="I36" s="15">
        <f t="shared" si="13"/>
        <v>29.445</v>
      </c>
      <c r="J36" s="32">
        <f t="shared" si="13"/>
        <v>33.774999999999999</v>
      </c>
      <c r="K36" s="15">
        <f t="shared" si="13"/>
        <v>105.83000000000001</v>
      </c>
      <c r="L36" s="32">
        <f t="shared" si="13"/>
        <v>115.88</v>
      </c>
      <c r="M36" s="15">
        <f t="shared" si="13"/>
        <v>844.12500000000011</v>
      </c>
      <c r="N36" s="34">
        <f t="shared" si="13"/>
        <v>945.79500000000019</v>
      </c>
    </row>
    <row r="37" spans="2:14" ht="15" customHeight="1" x14ac:dyDescent="0.3">
      <c r="B37" s="187" t="s">
        <v>129</v>
      </c>
      <c r="C37" s="194" t="s">
        <v>164</v>
      </c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1"/>
    </row>
    <row r="38" spans="2:14" x14ac:dyDescent="0.3">
      <c r="B38" s="188"/>
      <c r="C38" s="93" t="s">
        <v>85</v>
      </c>
      <c r="D38" s="9" t="s">
        <v>86</v>
      </c>
      <c r="E38" s="55">
        <v>90</v>
      </c>
      <c r="F38" s="24">
        <v>100</v>
      </c>
      <c r="G38" s="17">
        <f>E38*18.7/100</f>
        <v>16.829999999999998</v>
      </c>
      <c r="H38" s="25">
        <f>F38*18.7/100</f>
        <v>18.7</v>
      </c>
      <c r="I38" s="17">
        <f>E38*15.3/100</f>
        <v>13.77</v>
      </c>
      <c r="J38" s="25">
        <f>F38*15.3/100</f>
        <v>15.3</v>
      </c>
      <c r="K38" s="17">
        <f>E38*0.6/100</f>
        <v>0.54</v>
      </c>
      <c r="L38" s="25">
        <f>F38*0.6/100</f>
        <v>0.6</v>
      </c>
      <c r="M38" s="17">
        <f t="shared" ref="M38:M43" si="14">G38*4+I38*9+K38*4</f>
        <v>193.41</v>
      </c>
      <c r="N38" s="27">
        <f t="shared" ref="N38:N43" si="15">H38*4+J38*9+L38*4</f>
        <v>214.9</v>
      </c>
    </row>
    <row r="39" spans="2:14" x14ac:dyDescent="0.3">
      <c r="B39" s="188"/>
      <c r="C39" s="16" t="s">
        <v>28</v>
      </c>
      <c r="D39" s="6" t="s">
        <v>9</v>
      </c>
      <c r="E39" s="55">
        <v>150</v>
      </c>
      <c r="F39" s="24">
        <v>180</v>
      </c>
      <c r="G39" s="17">
        <f>E39*3.63/100</f>
        <v>5.4450000000000003</v>
      </c>
      <c r="H39" s="25">
        <f>F39*3.63/100</f>
        <v>6.5339999999999998</v>
      </c>
      <c r="I39" s="17">
        <f>E39*4.5/100</f>
        <v>6.75</v>
      </c>
      <c r="J39" s="25">
        <f>F39*4.5/100</f>
        <v>8.1</v>
      </c>
      <c r="K39" s="17">
        <f>E39*22.5/100</f>
        <v>33.75</v>
      </c>
      <c r="L39" s="25">
        <f>F39*22.5/100</f>
        <v>40.5</v>
      </c>
      <c r="M39" s="17">
        <f t="shared" si="14"/>
        <v>217.53</v>
      </c>
      <c r="N39" s="27">
        <f t="shared" si="15"/>
        <v>261.036</v>
      </c>
    </row>
    <row r="40" spans="2:14" x14ac:dyDescent="0.3">
      <c r="B40" s="188"/>
      <c r="C40" s="93" t="s">
        <v>48</v>
      </c>
      <c r="D40" s="9" t="s">
        <v>49</v>
      </c>
      <c r="E40" s="55">
        <v>40</v>
      </c>
      <c r="F40" s="24">
        <v>50</v>
      </c>
      <c r="G40" s="17">
        <f>E40*1.3/50</f>
        <v>1.04</v>
      </c>
      <c r="H40" s="25">
        <f>F40*1.3/50</f>
        <v>1.3</v>
      </c>
      <c r="I40" s="17">
        <f>E40*4.8/50</f>
        <v>3.84</v>
      </c>
      <c r="J40" s="25">
        <f>F40*4.8/50</f>
        <v>4.8</v>
      </c>
      <c r="K40" s="17">
        <f>E40*4.7/50</f>
        <v>3.76</v>
      </c>
      <c r="L40" s="25">
        <f>F40*4.7/50</f>
        <v>4.7</v>
      </c>
      <c r="M40" s="17">
        <f t="shared" si="14"/>
        <v>53.76</v>
      </c>
      <c r="N40" s="27">
        <f t="shared" si="15"/>
        <v>67.2</v>
      </c>
    </row>
    <row r="41" spans="2:14" x14ac:dyDescent="0.3">
      <c r="B41" s="188"/>
      <c r="C41" s="16" t="s">
        <v>39</v>
      </c>
      <c r="D41" s="6" t="s">
        <v>10</v>
      </c>
      <c r="E41" s="55">
        <v>200</v>
      </c>
      <c r="F41" s="24">
        <v>180</v>
      </c>
      <c r="G41" s="17">
        <f>E41*0.3/200</f>
        <v>0.3</v>
      </c>
      <c r="H41" s="25">
        <f>F41*0.3/200</f>
        <v>0.27</v>
      </c>
      <c r="I41" s="17">
        <f t="shared" ref="I41" si="16">E41*0.1/200</f>
        <v>0.1</v>
      </c>
      <c r="J41" s="25">
        <f t="shared" ref="J41" si="17">F41*0.1/200</f>
        <v>0.09</v>
      </c>
      <c r="K41" s="17">
        <f>E41*9.5/200</f>
        <v>9.5</v>
      </c>
      <c r="L41" s="25">
        <f>F41*9.5/200</f>
        <v>8.5500000000000007</v>
      </c>
      <c r="M41" s="17">
        <f t="shared" si="14"/>
        <v>40.1</v>
      </c>
      <c r="N41" s="27">
        <f t="shared" si="15"/>
        <v>36.090000000000003</v>
      </c>
    </row>
    <row r="42" spans="2:14" x14ac:dyDescent="0.3">
      <c r="B42" s="188"/>
      <c r="C42" s="16" t="s">
        <v>56</v>
      </c>
      <c r="D42" s="6" t="s">
        <v>16</v>
      </c>
      <c r="E42" s="45">
        <v>20</v>
      </c>
      <c r="F42" s="46">
        <v>20</v>
      </c>
      <c r="G42" s="17">
        <f>E42*8/100</f>
        <v>1.6</v>
      </c>
      <c r="H42" s="25">
        <f>F42*8/100</f>
        <v>1.6</v>
      </c>
      <c r="I42" s="17">
        <f>E42*1.5/100</f>
        <v>0.3</v>
      </c>
      <c r="J42" s="25">
        <f>F42*1.5/100</f>
        <v>0.3</v>
      </c>
      <c r="K42" s="17">
        <f>E42*40.1/100</f>
        <v>8.02</v>
      </c>
      <c r="L42" s="25">
        <f>F42*40.1/100</f>
        <v>8.02</v>
      </c>
      <c r="M42" s="17">
        <f t="shared" si="14"/>
        <v>41.18</v>
      </c>
      <c r="N42" s="27">
        <f t="shared" si="15"/>
        <v>41.18</v>
      </c>
    </row>
    <row r="43" spans="2:14" x14ac:dyDescent="0.3">
      <c r="B43" s="188"/>
      <c r="C43" s="16" t="s">
        <v>57</v>
      </c>
      <c r="D43" s="6" t="s">
        <v>58</v>
      </c>
      <c r="E43" s="45">
        <v>20</v>
      </c>
      <c r="F43" s="46">
        <v>20</v>
      </c>
      <c r="G43" s="17">
        <f>E43*7.6/100</f>
        <v>1.52</v>
      </c>
      <c r="H43" s="25">
        <f>F43*7.6/100</f>
        <v>1.52</v>
      </c>
      <c r="I43" s="17">
        <f>E43*0.8/100</f>
        <v>0.16</v>
      </c>
      <c r="J43" s="25">
        <f>F43*0.8/100</f>
        <v>0.16</v>
      </c>
      <c r="K43" s="17">
        <f>E43*49.2/100</f>
        <v>9.84</v>
      </c>
      <c r="L43" s="25">
        <f>F43*49.2/100</f>
        <v>9.84</v>
      </c>
      <c r="M43" s="17">
        <f t="shared" si="14"/>
        <v>46.879999999999995</v>
      </c>
      <c r="N43" s="27">
        <f t="shared" si="15"/>
        <v>46.879999999999995</v>
      </c>
    </row>
    <row r="44" spans="2:14" x14ac:dyDescent="0.3">
      <c r="B44" s="188"/>
      <c r="C44" s="100"/>
      <c r="D44" s="4" t="s">
        <v>165</v>
      </c>
      <c r="E44" s="19">
        <f t="shared" ref="E44:N44" si="18">SUM(E38:E43)</f>
        <v>520</v>
      </c>
      <c r="F44" s="94">
        <f t="shared" si="18"/>
        <v>550</v>
      </c>
      <c r="G44" s="7">
        <f t="shared" si="18"/>
        <v>26.734999999999999</v>
      </c>
      <c r="H44" s="26">
        <f t="shared" si="18"/>
        <v>29.923999999999999</v>
      </c>
      <c r="I44" s="7">
        <f t="shared" si="18"/>
        <v>24.92</v>
      </c>
      <c r="J44" s="94">
        <f t="shared" si="18"/>
        <v>28.75</v>
      </c>
      <c r="K44" s="7">
        <f t="shared" si="18"/>
        <v>65.41</v>
      </c>
      <c r="L44" s="26">
        <f t="shared" si="18"/>
        <v>72.210000000000008</v>
      </c>
      <c r="M44" s="7">
        <f t="shared" si="18"/>
        <v>592.86</v>
      </c>
      <c r="N44" s="28">
        <f t="shared" si="18"/>
        <v>667.28600000000006</v>
      </c>
    </row>
    <row r="45" spans="2:14" x14ac:dyDescent="0.3">
      <c r="B45" s="188"/>
      <c r="C45" s="195" t="s">
        <v>8</v>
      </c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3"/>
    </row>
    <row r="46" spans="2:14" x14ac:dyDescent="0.3">
      <c r="B46" s="188"/>
      <c r="C46" s="93" t="s">
        <v>54</v>
      </c>
      <c r="D46" s="84" t="s">
        <v>55</v>
      </c>
      <c r="E46" s="55">
        <v>200</v>
      </c>
      <c r="F46" s="29">
        <v>250</v>
      </c>
      <c r="G46" s="17">
        <f>E46*1.8/100</f>
        <v>3.6</v>
      </c>
      <c r="H46" s="25">
        <f>F46*1.8/100</f>
        <v>4.5</v>
      </c>
      <c r="I46" s="17">
        <f>E46*2.89/100</f>
        <v>5.78</v>
      </c>
      <c r="J46" s="25">
        <f>F46*2.89/100</f>
        <v>7.2249999999999996</v>
      </c>
      <c r="K46" s="17">
        <f>E46*3.62/100</f>
        <v>7.24</v>
      </c>
      <c r="L46" s="25">
        <f>F46*3.62/100</f>
        <v>9.0500000000000007</v>
      </c>
      <c r="M46" s="17">
        <f t="shared" ref="M46:N52" si="19">G46*4+I46*9+K46*4</f>
        <v>95.38</v>
      </c>
      <c r="N46" s="27">
        <f>H46*4+J46*9+L46*4</f>
        <v>119.22499999999999</v>
      </c>
    </row>
    <row r="47" spans="2:14" x14ac:dyDescent="0.3">
      <c r="B47" s="188"/>
      <c r="C47" s="93" t="s">
        <v>85</v>
      </c>
      <c r="D47" s="9" t="s">
        <v>86</v>
      </c>
      <c r="E47" s="55">
        <v>90</v>
      </c>
      <c r="F47" s="24">
        <v>100</v>
      </c>
      <c r="G47" s="17">
        <f>E47*18.7/100</f>
        <v>16.829999999999998</v>
      </c>
      <c r="H47" s="25">
        <f>F47*18.7/100</f>
        <v>18.7</v>
      </c>
      <c r="I47" s="17">
        <f>E47*15.3/100</f>
        <v>13.77</v>
      </c>
      <c r="J47" s="25">
        <f>F47*15.3/100</f>
        <v>15.3</v>
      </c>
      <c r="K47" s="17">
        <f>E47*0.6/100</f>
        <v>0.54</v>
      </c>
      <c r="L47" s="25">
        <f>F47*0.6/100</f>
        <v>0.6</v>
      </c>
      <c r="M47" s="17">
        <f t="shared" si="19"/>
        <v>193.41</v>
      </c>
      <c r="N47" s="27">
        <f t="shared" si="19"/>
        <v>214.9</v>
      </c>
    </row>
    <row r="48" spans="2:14" x14ac:dyDescent="0.3">
      <c r="B48" s="188"/>
      <c r="C48" s="16" t="s">
        <v>28</v>
      </c>
      <c r="D48" s="6" t="s">
        <v>9</v>
      </c>
      <c r="E48" s="55">
        <v>150</v>
      </c>
      <c r="F48" s="24">
        <v>180</v>
      </c>
      <c r="G48" s="17">
        <f>E48*3.63/100</f>
        <v>5.4450000000000003</v>
      </c>
      <c r="H48" s="25">
        <f>F48*3.63/100</f>
        <v>6.5339999999999998</v>
      </c>
      <c r="I48" s="17">
        <f>E48*4.5/100</f>
        <v>6.75</v>
      </c>
      <c r="J48" s="25">
        <f>F48*4.5/100</f>
        <v>8.1</v>
      </c>
      <c r="K48" s="17">
        <f>E48*22.5/100</f>
        <v>33.75</v>
      </c>
      <c r="L48" s="25">
        <f>F48*22.5/100</f>
        <v>40.5</v>
      </c>
      <c r="M48" s="17">
        <f t="shared" si="19"/>
        <v>217.53</v>
      </c>
      <c r="N48" s="27">
        <f t="shared" si="19"/>
        <v>261.036</v>
      </c>
    </row>
    <row r="49" spans="2:14" x14ac:dyDescent="0.3">
      <c r="B49" s="188"/>
      <c r="C49" s="93" t="s">
        <v>48</v>
      </c>
      <c r="D49" s="9" t="s">
        <v>49</v>
      </c>
      <c r="E49" s="55">
        <v>40</v>
      </c>
      <c r="F49" s="24">
        <v>50</v>
      </c>
      <c r="G49" s="17">
        <f>E49*1.3/50</f>
        <v>1.04</v>
      </c>
      <c r="H49" s="25">
        <f>F49*1.3/50</f>
        <v>1.3</v>
      </c>
      <c r="I49" s="17">
        <f>E49*4.8/50</f>
        <v>3.84</v>
      </c>
      <c r="J49" s="25">
        <f>F49*4.8/50</f>
        <v>4.8</v>
      </c>
      <c r="K49" s="17">
        <f>E49*4.7/50</f>
        <v>3.76</v>
      </c>
      <c r="L49" s="25">
        <f>F49*4.7/50</f>
        <v>4.7</v>
      </c>
      <c r="M49" s="17">
        <f t="shared" si="19"/>
        <v>53.76</v>
      </c>
      <c r="N49" s="27">
        <f t="shared" si="19"/>
        <v>67.2</v>
      </c>
    </row>
    <row r="50" spans="2:14" x14ac:dyDescent="0.3">
      <c r="B50" s="188"/>
      <c r="C50" s="16" t="s">
        <v>39</v>
      </c>
      <c r="D50" s="6" t="s">
        <v>10</v>
      </c>
      <c r="E50" s="55">
        <v>200</v>
      </c>
      <c r="F50" s="24">
        <v>180</v>
      </c>
      <c r="G50" s="17">
        <f>E50*0.3/200</f>
        <v>0.3</v>
      </c>
      <c r="H50" s="25">
        <f>F50*0.3/200</f>
        <v>0.27</v>
      </c>
      <c r="I50" s="17">
        <f t="shared" ref="I50:J50" si="20">E50*0.1/200</f>
        <v>0.1</v>
      </c>
      <c r="J50" s="25">
        <f t="shared" si="20"/>
        <v>0.09</v>
      </c>
      <c r="K50" s="17">
        <f>E50*9.5/200</f>
        <v>9.5</v>
      </c>
      <c r="L50" s="25">
        <f>F50*9.5/200</f>
        <v>8.5500000000000007</v>
      </c>
      <c r="M50" s="17">
        <f t="shared" si="19"/>
        <v>40.1</v>
      </c>
      <c r="N50" s="27">
        <f t="shared" si="19"/>
        <v>36.090000000000003</v>
      </c>
    </row>
    <row r="51" spans="2:14" x14ac:dyDescent="0.3">
      <c r="B51" s="188"/>
      <c r="C51" s="16" t="s">
        <v>56</v>
      </c>
      <c r="D51" s="6" t="s">
        <v>16</v>
      </c>
      <c r="E51" s="45">
        <v>20</v>
      </c>
      <c r="F51" s="46">
        <v>20</v>
      </c>
      <c r="G51" s="17">
        <f>E51*8/100</f>
        <v>1.6</v>
      </c>
      <c r="H51" s="25">
        <f>F51*8/100</f>
        <v>1.6</v>
      </c>
      <c r="I51" s="17">
        <f>E51*1.5/100</f>
        <v>0.3</v>
      </c>
      <c r="J51" s="25">
        <f>F51*1.5/100</f>
        <v>0.3</v>
      </c>
      <c r="K51" s="17">
        <f>E51*40.1/100</f>
        <v>8.02</v>
      </c>
      <c r="L51" s="25">
        <f>F51*40.1/100</f>
        <v>8.02</v>
      </c>
      <c r="M51" s="17">
        <f t="shared" si="19"/>
        <v>41.18</v>
      </c>
      <c r="N51" s="27">
        <f t="shared" si="19"/>
        <v>41.18</v>
      </c>
    </row>
    <row r="52" spans="2:14" x14ac:dyDescent="0.3">
      <c r="B52" s="188"/>
      <c r="C52" s="16" t="s">
        <v>57</v>
      </c>
      <c r="D52" s="6" t="s">
        <v>58</v>
      </c>
      <c r="E52" s="45">
        <v>40</v>
      </c>
      <c r="F52" s="46">
        <v>40</v>
      </c>
      <c r="G52" s="17">
        <f>E52*7.6/100</f>
        <v>3.04</v>
      </c>
      <c r="H52" s="25">
        <f>F52*7.6/100</f>
        <v>3.04</v>
      </c>
      <c r="I52" s="17">
        <f>E52*0.8/100</f>
        <v>0.32</v>
      </c>
      <c r="J52" s="25">
        <f>F52*0.8/100</f>
        <v>0.32</v>
      </c>
      <c r="K52" s="17">
        <f>E52*49.2/100</f>
        <v>19.68</v>
      </c>
      <c r="L52" s="25">
        <f>F52*49.2/100</f>
        <v>19.68</v>
      </c>
      <c r="M52" s="17">
        <f t="shared" si="19"/>
        <v>93.759999999999991</v>
      </c>
      <c r="N52" s="27">
        <f t="shared" si="19"/>
        <v>93.759999999999991</v>
      </c>
    </row>
    <row r="53" spans="2:14" ht="15" thickBot="1" x14ac:dyDescent="0.35">
      <c r="B53" s="189"/>
      <c r="C53" s="20"/>
      <c r="D53" s="13" t="s">
        <v>11</v>
      </c>
      <c r="E53" s="69">
        <f t="shared" ref="E53:N53" si="21">SUM(E46:E52)</f>
        <v>740</v>
      </c>
      <c r="F53" s="70">
        <f t="shared" si="21"/>
        <v>820</v>
      </c>
      <c r="G53" s="15">
        <f t="shared" si="21"/>
        <v>31.855</v>
      </c>
      <c r="H53" s="32">
        <f t="shared" si="21"/>
        <v>35.943999999999996</v>
      </c>
      <c r="I53" s="15">
        <f t="shared" si="21"/>
        <v>30.860000000000003</v>
      </c>
      <c r="J53" s="32">
        <f t="shared" si="21"/>
        <v>36.134999999999998</v>
      </c>
      <c r="K53" s="15">
        <f t="shared" si="21"/>
        <v>82.490000000000009</v>
      </c>
      <c r="L53" s="32">
        <f t="shared" si="21"/>
        <v>91.1</v>
      </c>
      <c r="M53" s="15">
        <f t="shared" si="21"/>
        <v>735.11999999999989</v>
      </c>
      <c r="N53" s="34">
        <f t="shared" si="21"/>
        <v>833.39100000000008</v>
      </c>
    </row>
    <row r="58" spans="2:14" x14ac:dyDescent="0.3">
      <c r="D58" s="12" t="s">
        <v>17</v>
      </c>
    </row>
    <row r="63" spans="2:14" x14ac:dyDescent="0.3">
      <c r="F63" s="12" t="s">
        <v>17</v>
      </c>
    </row>
  </sheetData>
  <mergeCells count="18">
    <mergeCell ref="C37:N37"/>
    <mergeCell ref="C45:N45"/>
    <mergeCell ref="B37:B53"/>
    <mergeCell ref="B6:B21"/>
    <mergeCell ref="C6:N6"/>
    <mergeCell ref="C14:N14"/>
    <mergeCell ref="B22:B36"/>
    <mergeCell ref="C22:N22"/>
    <mergeCell ref="C29:N29"/>
    <mergeCell ref="M3:N4"/>
    <mergeCell ref="G4:H4"/>
    <mergeCell ref="I4:J4"/>
    <mergeCell ref="K4:L4"/>
    <mergeCell ref="B3:B5"/>
    <mergeCell ref="C3:C5"/>
    <mergeCell ref="D3:D5"/>
    <mergeCell ref="E3:F4"/>
    <mergeCell ref="G3:L3"/>
  </mergeCells>
  <pageMargins left="0.23622047244094491" right="0.23622047244094491" top="0.19685039370078741" bottom="0.19685039370078741" header="0.31496062992125984" footer="0.31496062992125984"/>
  <pageSetup paperSize="9" scale="70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Z62"/>
  <sheetViews>
    <sheetView zoomScale="90" zoomScaleNormal="90" zoomScalePageLayoutView="90" workbookViewId="0">
      <selection activeCell="E27" sqref="E27"/>
    </sheetView>
  </sheetViews>
  <sheetFormatPr defaultColWidth="9.109375" defaultRowHeight="14.4" x14ac:dyDescent="0.3"/>
  <cols>
    <col min="1" max="1" width="6.44140625" style="12" customWidth="1"/>
    <col min="2" max="2" width="2.6640625" style="12" customWidth="1"/>
    <col min="3" max="3" width="10.5546875" style="12" customWidth="1"/>
    <col min="4" max="4" width="42.6640625" style="12" customWidth="1"/>
    <col min="5" max="6" width="7.33203125" style="12" customWidth="1"/>
    <col min="7" max="7" width="6.6640625" style="12" customWidth="1"/>
    <col min="8" max="8" width="6.88671875" style="12" customWidth="1"/>
    <col min="9" max="9" width="6.44140625" style="12" customWidth="1"/>
    <col min="10" max="10" width="6.5546875" style="12" customWidth="1"/>
    <col min="11" max="11" width="7.5546875" style="12" customWidth="1"/>
    <col min="12" max="12" width="7.44140625" style="12" customWidth="1"/>
    <col min="13" max="13" width="8.5546875" style="12" customWidth="1"/>
    <col min="14" max="14" width="9.5546875" style="12" customWidth="1"/>
    <col min="15" max="15" width="9" style="12" customWidth="1"/>
    <col min="16" max="16" width="7.33203125" style="12" customWidth="1"/>
    <col min="17" max="20" width="9.109375" style="12"/>
    <col min="21" max="21" width="7.33203125" style="12" customWidth="1"/>
    <col min="22" max="22" width="7.6640625" style="12" customWidth="1"/>
    <col min="23" max="23" width="9.109375" style="12"/>
    <col min="24" max="24" width="7.6640625" style="12" customWidth="1"/>
    <col min="25" max="16384" width="9.109375" style="12"/>
  </cols>
  <sheetData>
    <row r="2" spans="2:26" ht="15" customHeight="1" thickBot="1" x14ac:dyDescent="0.3">
      <c r="O2" s="2"/>
      <c r="P2" s="2"/>
      <c r="Q2" s="1"/>
      <c r="R2" s="1"/>
      <c r="S2" s="1"/>
      <c r="T2" s="1"/>
      <c r="U2" s="2"/>
      <c r="V2" s="2"/>
      <c r="W2" s="1"/>
      <c r="X2" s="1"/>
      <c r="Y2" s="1"/>
      <c r="Z2" s="1"/>
    </row>
    <row r="3" spans="2:26" ht="15" customHeight="1" x14ac:dyDescent="0.3">
      <c r="B3" s="196" t="s">
        <v>33</v>
      </c>
      <c r="C3" s="199" t="s">
        <v>0</v>
      </c>
      <c r="D3" s="202" t="s">
        <v>1</v>
      </c>
      <c r="E3" s="205" t="s">
        <v>6</v>
      </c>
      <c r="F3" s="206"/>
      <c r="G3" s="209" t="s">
        <v>7</v>
      </c>
      <c r="H3" s="209"/>
      <c r="I3" s="209"/>
      <c r="J3" s="209"/>
      <c r="K3" s="209"/>
      <c r="L3" s="209"/>
      <c r="M3" s="210" t="s">
        <v>5</v>
      </c>
      <c r="N3" s="211"/>
      <c r="O3" s="1"/>
      <c r="P3" s="3"/>
      <c r="Q3" s="5"/>
      <c r="R3" s="5"/>
      <c r="S3" s="5"/>
      <c r="T3" s="5"/>
      <c r="U3" s="1"/>
      <c r="V3" s="3"/>
      <c r="W3" s="5"/>
      <c r="X3" s="5"/>
      <c r="Y3" s="5"/>
      <c r="Z3" s="5"/>
    </row>
    <row r="4" spans="2:26" x14ac:dyDescent="0.3">
      <c r="B4" s="197"/>
      <c r="C4" s="200"/>
      <c r="D4" s="203"/>
      <c r="E4" s="207"/>
      <c r="F4" s="208"/>
      <c r="G4" s="214" t="s">
        <v>3</v>
      </c>
      <c r="H4" s="214"/>
      <c r="I4" s="212" t="s">
        <v>2</v>
      </c>
      <c r="J4" s="212"/>
      <c r="K4" s="214" t="s">
        <v>4</v>
      </c>
      <c r="L4" s="214"/>
      <c r="M4" s="212"/>
      <c r="N4" s="213"/>
      <c r="O4" s="1"/>
      <c r="P4" s="3"/>
      <c r="Q4" s="5"/>
      <c r="R4" s="5"/>
      <c r="S4" s="5"/>
      <c r="T4" s="5"/>
      <c r="U4" s="1"/>
      <c r="V4" s="3"/>
      <c r="W4" s="5"/>
      <c r="X4" s="5"/>
      <c r="Y4" s="5"/>
      <c r="Z4" s="5"/>
    </row>
    <row r="5" spans="2:26" ht="27.75" customHeight="1" thickBot="1" x14ac:dyDescent="0.35">
      <c r="B5" s="198"/>
      <c r="C5" s="201"/>
      <c r="D5" s="204"/>
      <c r="E5" s="21" t="s">
        <v>12</v>
      </c>
      <c r="F5" s="22" t="s">
        <v>38</v>
      </c>
      <c r="G5" s="21" t="s">
        <v>12</v>
      </c>
      <c r="H5" s="22" t="s">
        <v>38</v>
      </c>
      <c r="I5" s="21" t="s">
        <v>12</v>
      </c>
      <c r="J5" s="22" t="s">
        <v>38</v>
      </c>
      <c r="K5" s="21" t="s">
        <v>12</v>
      </c>
      <c r="L5" s="22" t="s">
        <v>38</v>
      </c>
      <c r="M5" s="21" t="s">
        <v>12</v>
      </c>
      <c r="N5" s="23" t="s">
        <v>38</v>
      </c>
      <c r="O5" s="1"/>
      <c r="P5" s="3"/>
      <c r="Q5" s="5"/>
      <c r="R5" s="5"/>
      <c r="S5" s="5"/>
      <c r="T5" s="5"/>
      <c r="U5" s="1"/>
      <c r="V5" s="3"/>
      <c r="W5" s="5"/>
      <c r="X5" s="5"/>
      <c r="Y5" s="5"/>
      <c r="Z5" s="5"/>
    </row>
    <row r="6" spans="2:26" x14ac:dyDescent="0.3">
      <c r="B6" s="187" t="s">
        <v>130</v>
      </c>
      <c r="C6" s="194" t="s">
        <v>164</v>
      </c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1"/>
      <c r="O6" s="1"/>
      <c r="P6" s="3"/>
      <c r="Q6" s="5"/>
      <c r="R6" s="5"/>
      <c r="S6" s="5"/>
      <c r="T6" s="5"/>
      <c r="U6" s="1"/>
      <c r="V6" s="3"/>
      <c r="W6" s="5"/>
      <c r="X6" s="5"/>
      <c r="Y6" s="5"/>
      <c r="Z6" s="5"/>
    </row>
    <row r="7" spans="2:26" x14ac:dyDescent="0.3">
      <c r="B7" s="188"/>
      <c r="C7" s="103" t="s">
        <v>145</v>
      </c>
      <c r="D7" s="8" t="s">
        <v>146</v>
      </c>
      <c r="E7" s="55">
        <v>240</v>
      </c>
      <c r="F7" s="24">
        <v>250</v>
      </c>
      <c r="G7" s="17">
        <f>E7*10.8/100</f>
        <v>25.92</v>
      </c>
      <c r="H7" s="25">
        <f>F7*10.8/100</f>
        <v>27</v>
      </c>
      <c r="I7" s="55">
        <f>E7*5.9/100</f>
        <v>14.16</v>
      </c>
      <c r="J7" s="25">
        <f>F7*5.9/100</f>
        <v>14.75</v>
      </c>
      <c r="K7" s="17">
        <f>E7*18.9/100</f>
        <v>45.36</v>
      </c>
      <c r="L7" s="25">
        <f>F7*18.9/100</f>
        <v>47.25</v>
      </c>
      <c r="M7" s="17">
        <f t="shared" ref="M7:M10" si="0">G7*4+I7*9+K7*4</f>
        <v>412.56</v>
      </c>
      <c r="N7" s="27">
        <f t="shared" ref="N7:N10" si="1">H7*4+J7*9+L7*4</f>
        <v>429.75</v>
      </c>
      <c r="O7" s="1"/>
      <c r="P7" s="3"/>
      <c r="Q7" s="5"/>
      <c r="R7" s="5"/>
      <c r="S7" s="5"/>
      <c r="T7" s="5"/>
      <c r="U7" s="1"/>
      <c r="V7" s="3"/>
      <c r="W7" s="5"/>
      <c r="X7" s="5"/>
      <c r="Y7" s="5"/>
      <c r="Z7" s="5"/>
    </row>
    <row r="8" spans="2:26" x14ac:dyDescent="0.3">
      <c r="B8" s="188"/>
      <c r="C8" s="103" t="s">
        <v>40</v>
      </c>
      <c r="D8" s="9" t="s">
        <v>109</v>
      </c>
      <c r="E8" s="55">
        <v>200</v>
      </c>
      <c r="F8" s="24">
        <v>200</v>
      </c>
      <c r="G8" s="17">
        <f>E8*0.2/200</f>
        <v>0.2</v>
      </c>
      <c r="H8" s="25">
        <f>F8*0.2/200</f>
        <v>0.2</v>
      </c>
      <c r="I8" s="17">
        <f t="shared" ref="I8" si="2">E8*0.1/200</f>
        <v>0.1</v>
      </c>
      <c r="J8" s="25">
        <f t="shared" ref="J8" si="3">F8*0.1/200</f>
        <v>0.1</v>
      </c>
      <c r="K8" s="17">
        <f>E8*9.3/200</f>
        <v>9.3000000000000007</v>
      </c>
      <c r="L8" s="25">
        <f>F8*9.3/200</f>
        <v>9.3000000000000007</v>
      </c>
      <c r="M8" s="17">
        <f t="shared" si="0"/>
        <v>38.900000000000006</v>
      </c>
      <c r="N8" s="27">
        <f t="shared" si="1"/>
        <v>38.900000000000006</v>
      </c>
      <c r="O8" s="1"/>
      <c r="P8" s="3"/>
      <c r="Q8" s="5"/>
      <c r="R8" s="5"/>
      <c r="S8" s="5"/>
      <c r="T8" s="5"/>
      <c r="U8" s="1"/>
      <c r="V8" s="3"/>
      <c r="W8" s="5"/>
      <c r="X8" s="5"/>
      <c r="Y8" s="5"/>
      <c r="Z8" s="5"/>
    </row>
    <row r="9" spans="2:26" x14ac:dyDescent="0.3">
      <c r="B9" s="188"/>
      <c r="C9" s="16" t="s">
        <v>56</v>
      </c>
      <c r="D9" s="6" t="s">
        <v>16</v>
      </c>
      <c r="E9" s="45">
        <v>20</v>
      </c>
      <c r="F9" s="46">
        <v>20</v>
      </c>
      <c r="G9" s="17">
        <f>E9*8/100</f>
        <v>1.6</v>
      </c>
      <c r="H9" s="25">
        <f>F9*8/100</f>
        <v>1.6</v>
      </c>
      <c r="I9" s="17">
        <f>E9*1.5/100</f>
        <v>0.3</v>
      </c>
      <c r="J9" s="25">
        <f>F9*1.5/100</f>
        <v>0.3</v>
      </c>
      <c r="K9" s="17">
        <f>E9*40.1/100</f>
        <v>8.02</v>
      </c>
      <c r="L9" s="25">
        <f>F9*40.1/100</f>
        <v>8.02</v>
      </c>
      <c r="M9" s="17">
        <f t="shared" si="0"/>
        <v>41.18</v>
      </c>
      <c r="N9" s="27">
        <f t="shared" si="1"/>
        <v>41.18</v>
      </c>
      <c r="O9" s="1"/>
      <c r="P9" s="3"/>
      <c r="Q9" s="5"/>
      <c r="R9" s="5"/>
      <c r="S9" s="5"/>
      <c r="T9" s="5"/>
      <c r="U9" s="1"/>
      <c r="V9" s="3"/>
      <c r="W9" s="5"/>
      <c r="X9" s="5"/>
      <c r="Y9" s="5"/>
      <c r="Z9" s="5"/>
    </row>
    <row r="10" spans="2:26" x14ac:dyDescent="0.3">
      <c r="B10" s="188"/>
      <c r="C10" s="16" t="s">
        <v>57</v>
      </c>
      <c r="D10" s="6" t="s">
        <v>58</v>
      </c>
      <c r="E10" s="45">
        <v>40</v>
      </c>
      <c r="F10" s="46">
        <v>40</v>
      </c>
      <c r="G10" s="17">
        <f>E10*7.6/100</f>
        <v>3.04</v>
      </c>
      <c r="H10" s="25">
        <f>F10*7.6/100</f>
        <v>3.04</v>
      </c>
      <c r="I10" s="17">
        <f>E10*0.8/100</f>
        <v>0.32</v>
      </c>
      <c r="J10" s="25">
        <f>F10*0.8/100</f>
        <v>0.32</v>
      </c>
      <c r="K10" s="17">
        <f>E10*49.2/100</f>
        <v>19.68</v>
      </c>
      <c r="L10" s="25">
        <f>F10*49.2/100</f>
        <v>19.68</v>
      </c>
      <c r="M10" s="17">
        <f t="shared" si="0"/>
        <v>93.759999999999991</v>
      </c>
      <c r="N10" s="27">
        <f t="shared" si="1"/>
        <v>93.759999999999991</v>
      </c>
      <c r="O10" s="1"/>
      <c r="P10" s="3"/>
      <c r="Q10" s="5"/>
      <c r="R10" s="5"/>
      <c r="S10" s="5"/>
      <c r="T10" s="5"/>
      <c r="U10" s="1"/>
      <c r="V10" s="3"/>
      <c r="W10" s="5"/>
      <c r="X10" s="5"/>
      <c r="Y10" s="5"/>
      <c r="Z10" s="5"/>
    </row>
    <row r="11" spans="2:26" x14ac:dyDescent="0.3">
      <c r="B11" s="188"/>
      <c r="C11" s="100"/>
      <c r="D11" s="4" t="s">
        <v>165</v>
      </c>
      <c r="E11" s="19">
        <f t="shared" ref="E11:N11" si="4">SUM(E7:E10)</f>
        <v>500</v>
      </c>
      <c r="F11" s="104">
        <f t="shared" si="4"/>
        <v>510</v>
      </c>
      <c r="G11" s="7">
        <f t="shared" si="4"/>
        <v>30.76</v>
      </c>
      <c r="H11" s="26">
        <f t="shared" si="4"/>
        <v>31.84</v>
      </c>
      <c r="I11" s="19">
        <f t="shared" si="4"/>
        <v>14.88</v>
      </c>
      <c r="J11" s="104">
        <f t="shared" si="4"/>
        <v>15.47</v>
      </c>
      <c r="K11" s="19">
        <f t="shared" si="4"/>
        <v>82.359999999999985</v>
      </c>
      <c r="L11" s="26">
        <f t="shared" si="4"/>
        <v>84.25</v>
      </c>
      <c r="M11" s="7">
        <f t="shared" si="4"/>
        <v>586.40000000000009</v>
      </c>
      <c r="N11" s="28">
        <f t="shared" si="4"/>
        <v>603.58999999999992</v>
      </c>
      <c r="O11" s="1"/>
      <c r="P11" s="3"/>
      <c r="Q11" s="5"/>
      <c r="R11" s="5"/>
      <c r="S11" s="5"/>
      <c r="T11" s="5"/>
      <c r="U11" s="1"/>
      <c r="V11" s="3"/>
      <c r="W11" s="5"/>
      <c r="X11" s="5"/>
      <c r="Y11" s="5"/>
      <c r="Z11" s="5"/>
    </row>
    <row r="12" spans="2:26" x14ac:dyDescent="0.3">
      <c r="B12" s="188"/>
      <c r="C12" s="195" t="s">
        <v>8</v>
      </c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3"/>
      <c r="O12" s="1"/>
      <c r="P12" s="3"/>
      <c r="Q12" s="5"/>
      <c r="R12" s="5"/>
      <c r="S12" s="5"/>
      <c r="T12" s="5"/>
      <c r="U12" s="1"/>
      <c r="V12" s="3"/>
      <c r="W12" s="5"/>
      <c r="X12" s="5"/>
      <c r="Y12" s="5"/>
      <c r="Z12" s="5"/>
    </row>
    <row r="13" spans="2:26" x14ac:dyDescent="0.3">
      <c r="B13" s="188"/>
      <c r="C13" s="54" t="s">
        <v>83</v>
      </c>
      <c r="D13" s="87" t="s">
        <v>84</v>
      </c>
      <c r="E13" s="55">
        <v>200</v>
      </c>
      <c r="F13" s="29">
        <v>250</v>
      </c>
      <c r="G13" s="17">
        <f>E13*3.08/100</f>
        <v>6.16</v>
      </c>
      <c r="H13" s="25">
        <f>F13*3.08/100</f>
        <v>7.7</v>
      </c>
      <c r="I13" s="17">
        <f>E13*2.85/100</f>
        <v>5.7</v>
      </c>
      <c r="J13" s="25">
        <f>F13*2.85/100</f>
        <v>7.125</v>
      </c>
      <c r="K13" s="17">
        <f>E13*7.14/100</f>
        <v>14.28</v>
      </c>
      <c r="L13" s="25">
        <f>F13*7.14/100</f>
        <v>17.850000000000001</v>
      </c>
      <c r="M13" s="17">
        <f t="shared" ref="M13:N17" si="5">G13*4+I13*9+K13*4</f>
        <v>133.06</v>
      </c>
      <c r="N13" s="27">
        <f>H13*4+J13*9+L13*4</f>
        <v>166.32499999999999</v>
      </c>
      <c r="O13" s="1"/>
      <c r="P13" s="3"/>
      <c r="Q13" s="5"/>
      <c r="R13" s="5"/>
      <c r="S13" s="5"/>
      <c r="T13" s="5"/>
      <c r="U13" s="1"/>
      <c r="V13" s="3"/>
      <c r="W13" s="5"/>
      <c r="X13" s="5"/>
      <c r="Y13" s="5"/>
      <c r="Z13" s="5"/>
    </row>
    <row r="14" spans="2:26" x14ac:dyDescent="0.3">
      <c r="B14" s="188"/>
      <c r="C14" s="103" t="s">
        <v>145</v>
      </c>
      <c r="D14" s="8" t="s">
        <v>146</v>
      </c>
      <c r="E14" s="55">
        <v>240</v>
      </c>
      <c r="F14" s="24">
        <v>250</v>
      </c>
      <c r="G14" s="17">
        <f>E14*10.8/100</f>
        <v>25.92</v>
      </c>
      <c r="H14" s="25">
        <f>F14*10.8/100</f>
        <v>27</v>
      </c>
      <c r="I14" s="55">
        <f>E14*5.9/100</f>
        <v>14.16</v>
      </c>
      <c r="J14" s="25">
        <f>F14*5.9/100</f>
        <v>14.75</v>
      </c>
      <c r="K14" s="17">
        <f>E14*18.9/100</f>
        <v>45.36</v>
      </c>
      <c r="L14" s="25">
        <f>F14*18.9/100</f>
        <v>47.25</v>
      </c>
      <c r="M14" s="17">
        <f t="shared" si="5"/>
        <v>412.56</v>
      </c>
      <c r="N14" s="27">
        <f t="shared" si="5"/>
        <v>429.75</v>
      </c>
      <c r="O14" s="1"/>
      <c r="P14" s="3"/>
      <c r="Q14" s="5"/>
      <c r="R14" s="5"/>
      <c r="S14" s="5"/>
      <c r="T14" s="5"/>
      <c r="U14" s="1"/>
      <c r="V14" s="3"/>
      <c r="W14" s="5"/>
      <c r="X14" s="5"/>
      <c r="Y14" s="5"/>
      <c r="Z14" s="5"/>
    </row>
    <row r="15" spans="2:26" x14ac:dyDescent="0.3">
      <c r="B15" s="188"/>
      <c r="C15" s="103" t="s">
        <v>40</v>
      </c>
      <c r="D15" s="9" t="s">
        <v>109</v>
      </c>
      <c r="E15" s="55">
        <v>200</v>
      </c>
      <c r="F15" s="24">
        <v>200</v>
      </c>
      <c r="G15" s="17">
        <f>E15*0.2/200</f>
        <v>0.2</v>
      </c>
      <c r="H15" s="25">
        <f>F15*0.2/200</f>
        <v>0.2</v>
      </c>
      <c r="I15" s="17">
        <f t="shared" ref="I15:J15" si="6">E15*0.1/200</f>
        <v>0.1</v>
      </c>
      <c r="J15" s="25">
        <f t="shared" si="6"/>
        <v>0.1</v>
      </c>
      <c r="K15" s="17">
        <f>E15*9.3/200</f>
        <v>9.3000000000000007</v>
      </c>
      <c r="L15" s="25">
        <f>F15*9.3/200</f>
        <v>9.3000000000000007</v>
      </c>
      <c r="M15" s="17">
        <f t="shared" si="5"/>
        <v>38.900000000000006</v>
      </c>
      <c r="N15" s="27">
        <f t="shared" si="5"/>
        <v>38.900000000000006</v>
      </c>
      <c r="O15" s="1"/>
      <c r="P15" s="3"/>
      <c r="Q15" s="5"/>
      <c r="R15" s="5"/>
      <c r="S15" s="5"/>
      <c r="T15" s="5"/>
      <c r="U15" s="1"/>
      <c r="V15" s="3"/>
      <c r="W15" s="5"/>
      <c r="X15" s="5"/>
      <c r="Y15" s="5"/>
      <c r="Z15" s="5"/>
    </row>
    <row r="16" spans="2:26" x14ac:dyDescent="0.3">
      <c r="B16" s="188"/>
      <c r="C16" s="16" t="s">
        <v>56</v>
      </c>
      <c r="D16" s="6" t="s">
        <v>16</v>
      </c>
      <c r="E16" s="45">
        <v>20</v>
      </c>
      <c r="F16" s="46">
        <v>20</v>
      </c>
      <c r="G16" s="17">
        <f>E16*8/100</f>
        <v>1.6</v>
      </c>
      <c r="H16" s="25">
        <f>F16*8/100</f>
        <v>1.6</v>
      </c>
      <c r="I16" s="17">
        <f>E16*1.5/100</f>
        <v>0.3</v>
      </c>
      <c r="J16" s="25">
        <f>F16*1.5/100</f>
        <v>0.3</v>
      </c>
      <c r="K16" s="17">
        <f>E16*40.1/100</f>
        <v>8.02</v>
      </c>
      <c r="L16" s="25">
        <f>F16*40.1/100</f>
        <v>8.02</v>
      </c>
      <c r="M16" s="17">
        <f t="shared" si="5"/>
        <v>41.18</v>
      </c>
      <c r="N16" s="27">
        <f t="shared" si="5"/>
        <v>41.18</v>
      </c>
      <c r="O16" s="1"/>
      <c r="P16" s="3"/>
      <c r="Q16" s="5"/>
      <c r="R16" s="5"/>
      <c r="S16" s="5"/>
      <c r="T16" s="5"/>
      <c r="U16" s="1"/>
      <c r="V16" s="3"/>
      <c r="W16" s="5"/>
      <c r="X16" s="5"/>
      <c r="Y16" s="5"/>
      <c r="Z16" s="5"/>
    </row>
    <row r="17" spans="2:26" x14ac:dyDescent="0.3">
      <c r="B17" s="188"/>
      <c r="C17" s="16" t="s">
        <v>57</v>
      </c>
      <c r="D17" s="6" t="s">
        <v>58</v>
      </c>
      <c r="E17" s="45">
        <v>40</v>
      </c>
      <c r="F17" s="46">
        <v>40</v>
      </c>
      <c r="G17" s="17">
        <f>E17*7.6/100</f>
        <v>3.04</v>
      </c>
      <c r="H17" s="25">
        <f>F17*7.6/100</f>
        <v>3.04</v>
      </c>
      <c r="I17" s="17">
        <f>E17*0.8/100</f>
        <v>0.32</v>
      </c>
      <c r="J17" s="25">
        <f>F17*0.8/100</f>
        <v>0.32</v>
      </c>
      <c r="K17" s="17">
        <f>E17*49.2/100</f>
        <v>19.68</v>
      </c>
      <c r="L17" s="25">
        <f>F17*49.2/100</f>
        <v>19.68</v>
      </c>
      <c r="M17" s="17">
        <f t="shared" si="5"/>
        <v>93.759999999999991</v>
      </c>
      <c r="N17" s="27">
        <f t="shared" si="5"/>
        <v>93.759999999999991</v>
      </c>
      <c r="O17" s="1"/>
      <c r="P17" s="3"/>
      <c r="Q17" s="5"/>
      <c r="R17" s="5"/>
      <c r="S17" s="5"/>
      <c r="T17" s="5"/>
      <c r="U17" s="1"/>
      <c r="V17" s="3"/>
      <c r="W17" s="5"/>
      <c r="X17" s="5"/>
      <c r="Y17" s="5"/>
      <c r="Z17" s="5"/>
    </row>
    <row r="18" spans="2:26" x14ac:dyDescent="0.3">
      <c r="B18" s="188"/>
      <c r="C18" s="47"/>
      <c r="D18" s="4" t="s">
        <v>11</v>
      </c>
      <c r="E18" s="19">
        <f t="shared" ref="E18:N18" si="7">SUM(E13:E17)</f>
        <v>700</v>
      </c>
      <c r="F18" s="30">
        <f t="shared" si="7"/>
        <v>760</v>
      </c>
      <c r="G18" s="19">
        <f t="shared" si="7"/>
        <v>36.92</v>
      </c>
      <c r="H18" s="104">
        <f t="shared" si="7"/>
        <v>39.540000000000006</v>
      </c>
      <c r="I18" s="19">
        <f t="shared" si="7"/>
        <v>20.580000000000002</v>
      </c>
      <c r="J18" s="26">
        <f t="shared" si="7"/>
        <v>22.595000000000002</v>
      </c>
      <c r="K18" s="19">
        <f t="shared" si="7"/>
        <v>96.639999999999986</v>
      </c>
      <c r="L18" s="26">
        <f t="shared" si="7"/>
        <v>102.1</v>
      </c>
      <c r="M18" s="7">
        <f t="shared" si="7"/>
        <v>719.45999999999992</v>
      </c>
      <c r="N18" s="28">
        <f t="shared" si="7"/>
        <v>769.91499999999996</v>
      </c>
      <c r="O18" s="1"/>
      <c r="P18" s="3"/>
      <c r="Q18" s="5"/>
      <c r="R18" s="5"/>
      <c r="S18" s="5"/>
      <c r="T18" s="5"/>
      <c r="U18" s="1"/>
      <c r="V18" s="3"/>
      <c r="W18" s="5"/>
      <c r="X18" s="5"/>
      <c r="Y18" s="5"/>
      <c r="Z18" s="5"/>
    </row>
    <row r="19" spans="2:26" x14ac:dyDescent="0.3">
      <c r="B19" s="188"/>
      <c r="C19" s="223" t="s">
        <v>108</v>
      </c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5"/>
      <c r="O19" s="1"/>
      <c r="P19" s="3"/>
      <c r="Q19" s="5"/>
      <c r="R19" s="5"/>
      <c r="S19" s="5"/>
      <c r="T19" s="5"/>
      <c r="U19" s="1"/>
      <c r="V19" s="3"/>
      <c r="W19" s="5"/>
      <c r="X19" s="5"/>
      <c r="Y19" s="5"/>
      <c r="Z19" s="5"/>
    </row>
    <row r="20" spans="2:26" x14ac:dyDescent="0.3">
      <c r="B20" s="188"/>
      <c r="C20" s="101" t="s">
        <v>141</v>
      </c>
      <c r="D20" s="85" t="s">
        <v>142</v>
      </c>
      <c r="E20" s="55">
        <v>90</v>
      </c>
      <c r="F20" s="24">
        <v>100</v>
      </c>
      <c r="G20" s="17">
        <f>E20*15.9/100</f>
        <v>14.31</v>
      </c>
      <c r="H20" s="25">
        <f>F20*15.9/100</f>
        <v>15.9</v>
      </c>
      <c r="I20" s="17">
        <f>E20*14.4/100</f>
        <v>12.96</v>
      </c>
      <c r="J20" s="25">
        <f>F20*14.4/100</f>
        <v>14.4</v>
      </c>
      <c r="K20" s="17">
        <f>E20*16/100</f>
        <v>14.4</v>
      </c>
      <c r="L20" s="25">
        <f>F20*16/100</f>
        <v>16</v>
      </c>
      <c r="M20" s="17">
        <f t="shared" ref="M20:N21" si="8">G20*4+I20*9+K20*4</f>
        <v>231.48000000000002</v>
      </c>
      <c r="N20" s="27">
        <f t="shared" si="8"/>
        <v>257.2</v>
      </c>
      <c r="O20" s="1"/>
      <c r="P20" s="3"/>
      <c r="Q20" s="5"/>
      <c r="R20" s="5"/>
      <c r="S20" s="5"/>
      <c r="T20" s="5"/>
      <c r="U20" s="1"/>
      <c r="V20" s="3"/>
      <c r="W20" s="5"/>
      <c r="X20" s="5"/>
      <c r="Y20" s="5"/>
      <c r="Z20" s="5"/>
    </row>
    <row r="21" spans="2:26" ht="15" thickBot="1" x14ac:dyDescent="0.35">
      <c r="B21" s="188"/>
      <c r="C21" s="20" t="s">
        <v>143</v>
      </c>
      <c r="D21" s="110" t="s">
        <v>144</v>
      </c>
      <c r="E21" s="14">
        <v>150</v>
      </c>
      <c r="F21" s="31">
        <v>180</v>
      </c>
      <c r="G21" s="66">
        <f>E21*2.3/100</f>
        <v>3.45</v>
      </c>
      <c r="H21" s="67">
        <f>F21*2.3/100</f>
        <v>4.1399999999999997</v>
      </c>
      <c r="I21" s="14">
        <f>E21*3.7/100</f>
        <v>5.55</v>
      </c>
      <c r="J21" s="67">
        <f>F21*3.7/100</f>
        <v>6.66</v>
      </c>
      <c r="K21" s="66">
        <f>E21*23.4/100</f>
        <v>35.1</v>
      </c>
      <c r="L21" s="67">
        <f>F21*23.4/100</f>
        <v>42.12</v>
      </c>
      <c r="M21" s="66">
        <f t="shared" si="8"/>
        <v>204.15</v>
      </c>
      <c r="N21" s="68">
        <f t="shared" si="8"/>
        <v>244.98</v>
      </c>
      <c r="O21" s="1"/>
      <c r="P21" s="3"/>
      <c r="Q21" s="5"/>
      <c r="R21" s="5"/>
      <c r="S21" s="5"/>
      <c r="T21" s="5"/>
      <c r="U21" s="1"/>
      <c r="V21" s="3"/>
      <c r="W21" s="5"/>
      <c r="X21" s="5"/>
      <c r="Y21" s="5"/>
      <c r="Z21" s="5"/>
    </row>
    <row r="22" spans="2:26" x14ac:dyDescent="0.3">
      <c r="B22" s="220" t="s">
        <v>131</v>
      </c>
      <c r="C22" s="190" t="s">
        <v>164</v>
      </c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1"/>
    </row>
    <row r="23" spans="2:26" x14ac:dyDescent="0.3">
      <c r="B23" s="221"/>
      <c r="C23" s="113" t="s">
        <v>52</v>
      </c>
      <c r="D23" s="9" t="s">
        <v>53</v>
      </c>
      <c r="E23" s="55">
        <v>230</v>
      </c>
      <c r="F23" s="24">
        <v>250</v>
      </c>
      <c r="G23" s="17">
        <f>E23*5.7/100</f>
        <v>13.11</v>
      </c>
      <c r="H23" s="25">
        <f>F23*5.7/100</f>
        <v>14.25</v>
      </c>
      <c r="I23" s="17">
        <f>E23*9.45/100</f>
        <v>21.734999999999999</v>
      </c>
      <c r="J23" s="25">
        <f>F23*9.45/100</f>
        <v>23.625</v>
      </c>
      <c r="K23" s="17">
        <f>E23*9.4/100</f>
        <v>21.62</v>
      </c>
      <c r="L23" s="25">
        <f>F23*9.4/100</f>
        <v>23.5</v>
      </c>
      <c r="M23" s="17">
        <f>G23*4+I23*9+K23*4</f>
        <v>334.53500000000003</v>
      </c>
      <c r="N23" s="27">
        <f>H23*4+J23*9+L23*4</f>
        <v>363.625</v>
      </c>
    </row>
    <row r="24" spans="2:26" x14ac:dyDescent="0.3">
      <c r="B24" s="221"/>
      <c r="C24" s="103" t="s">
        <v>41</v>
      </c>
      <c r="D24" s="9" t="s">
        <v>42</v>
      </c>
      <c r="E24" s="55">
        <v>200</v>
      </c>
      <c r="F24" s="24">
        <v>200</v>
      </c>
      <c r="G24" s="17">
        <f>E24*0.6/200</f>
        <v>0.6</v>
      </c>
      <c r="H24" s="25">
        <f>F24*0.6/200</f>
        <v>0.6</v>
      </c>
      <c r="I24" s="17">
        <f t="shared" ref="I24" si="9">E24*0.1/200</f>
        <v>0.1</v>
      </c>
      <c r="J24" s="25">
        <f t="shared" ref="J24" si="10">F24*0.1/200</f>
        <v>0.1</v>
      </c>
      <c r="K24" s="17">
        <f>E24*20.1/200</f>
        <v>20.100000000000001</v>
      </c>
      <c r="L24" s="25">
        <f>F24*20.1/200</f>
        <v>20.100000000000001</v>
      </c>
      <c r="M24" s="17">
        <f t="shared" ref="M24:M26" si="11">G24*4+I24*9+K24*4</f>
        <v>83.7</v>
      </c>
      <c r="N24" s="27">
        <f t="shared" ref="N24:N26" si="12">H24*4+J24*9+L24*4</f>
        <v>83.7</v>
      </c>
    </row>
    <row r="25" spans="2:26" x14ac:dyDescent="0.3">
      <c r="B25" s="221"/>
      <c r="C25" s="16" t="s">
        <v>56</v>
      </c>
      <c r="D25" s="6" t="s">
        <v>16</v>
      </c>
      <c r="E25" s="45">
        <v>20</v>
      </c>
      <c r="F25" s="46">
        <v>20</v>
      </c>
      <c r="G25" s="17">
        <f>E25*8/100</f>
        <v>1.6</v>
      </c>
      <c r="H25" s="25">
        <f>F25*8/100</f>
        <v>1.6</v>
      </c>
      <c r="I25" s="17">
        <f>E25*1.5/100</f>
        <v>0.3</v>
      </c>
      <c r="J25" s="25">
        <f>F25*1.5/100</f>
        <v>0.3</v>
      </c>
      <c r="K25" s="17">
        <f>E25*40.1/100</f>
        <v>8.02</v>
      </c>
      <c r="L25" s="25">
        <f>F25*40.1/100</f>
        <v>8.02</v>
      </c>
      <c r="M25" s="17">
        <f t="shared" si="11"/>
        <v>41.18</v>
      </c>
      <c r="N25" s="27">
        <f t="shared" si="12"/>
        <v>41.18</v>
      </c>
    </row>
    <row r="26" spans="2:26" x14ac:dyDescent="0.3">
      <c r="B26" s="221"/>
      <c r="C26" s="16" t="s">
        <v>57</v>
      </c>
      <c r="D26" s="6" t="s">
        <v>58</v>
      </c>
      <c r="E26" s="45">
        <v>50</v>
      </c>
      <c r="F26" s="46">
        <v>50</v>
      </c>
      <c r="G26" s="17">
        <f>E26*7.6/100</f>
        <v>3.8</v>
      </c>
      <c r="H26" s="25">
        <f>F26*7.6/100</f>
        <v>3.8</v>
      </c>
      <c r="I26" s="17">
        <f>E26*0.8/100</f>
        <v>0.4</v>
      </c>
      <c r="J26" s="25">
        <f>F26*0.8/100</f>
        <v>0.4</v>
      </c>
      <c r="K26" s="17">
        <f>E26*49.2/100</f>
        <v>24.6</v>
      </c>
      <c r="L26" s="25">
        <f>F26*49.2/100</f>
        <v>24.6</v>
      </c>
      <c r="M26" s="17">
        <f t="shared" si="11"/>
        <v>117.2</v>
      </c>
      <c r="N26" s="27">
        <f t="shared" si="12"/>
        <v>117.2</v>
      </c>
    </row>
    <row r="27" spans="2:26" x14ac:dyDescent="0.3">
      <c r="B27" s="221"/>
      <c r="C27" s="96"/>
      <c r="D27" s="4" t="s">
        <v>165</v>
      </c>
      <c r="E27" s="19">
        <f t="shared" ref="E27:N27" si="13">SUM(E23:E26)</f>
        <v>500</v>
      </c>
      <c r="F27" s="104">
        <f t="shared" si="13"/>
        <v>520</v>
      </c>
      <c r="G27" s="7">
        <f t="shared" si="13"/>
        <v>19.11</v>
      </c>
      <c r="H27" s="26">
        <f t="shared" si="13"/>
        <v>20.25</v>
      </c>
      <c r="I27" s="7">
        <f t="shared" si="13"/>
        <v>22.535</v>
      </c>
      <c r="J27" s="26">
        <f t="shared" si="13"/>
        <v>24.425000000000001</v>
      </c>
      <c r="K27" s="7">
        <f t="shared" si="13"/>
        <v>74.34</v>
      </c>
      <c r="L27" s="26">
        <f t="shared" si="13"/>
        <v>76.22</v>
      </c>
      <c r="M27" s="7">
        <f t="shared" si="13"/>
        <v>576.61500000000001</v>
      </c>
      <c r="N27" s="26">
        <f t="shared" si="13"/>
        <v>605.70500000000004</v>
      </c>
    </row>
    <row r="28" spans="2:26" x14ac:dyDescent="0.3">
      <c r="B28" s="221"/>
      <c r="C28" s="192" t="s">
        <v>8</v>
      </c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3"/>
    </row>
    <row r="29" spans="2:26" x14ac:dyDescent="0.3">
      <c r="B29" s="221"/>
      <c r="C29" s="103" t="s">
        <v>54</v>
      </c>
      <c r="D29" s="84" t="s">
        <v>55</v>
      </c>
      <c r="E29" s="55">
        <v>200</v>
      </c>
      <c r="F29" s="29">
        <v>250</v>
      </c>
      <c r="G29" s="17">
        <f>E29*1.8/100</f>
        <v>3.6</v>
      </c>
      <c r="H29" s="25">
        <f>F29*1.8/100</f>
        <v>4.5</v>
      </c>
      <c r="I29" s="17">
        <f>E29*2.89/100</f>
        <v>5.78</v>
      </c>
      <c r="J29" s="25">
        <f>F29*2.89/100</f>
        <v>7.2249999999999996</v>
      </c>
      <c r="K29" s="17">
        <f>E29*3.62/100</f>
        <v>7.24</v>
      </c>
      <c r="L29" s="25">
        <f>F29*3.62/100</f>
        <v>9.0500000000000007</v>
      </c>
      <c r="M29" s="17">
        <f t="shared" ref="M29:N33" si="14">G29*4+I29*9+K29*4</f>
        <v>95.38</v>
      </c>
      <c r="N29" s="27">
        <f>H29*4+J29*9+L29*4</f>
        <v>119.22499999999999</v>
      </c>
    </row>
    <row r="30" spans="2:26" x14ac:dyDescent="0.3">
      <c r="B30" s="221"/>
      <c r="C30" s="113" t="s">
        <v>52</v>
      </c>
      <c r="D30" s="9" t="s">
        <v>53</v>
      </c>
      <c r="E30" s="55">
        <v>250</v>
      </c>
      <c r="F30" s="24">
        <v>250</v>
      </c>
      <c r="G30" s="17">
        <f>E30*5.7/100</f>
        <v>14.25</v>
      </c>
      <c r="H30" s="25">
        <f>F30*5.7/100</f>
        <v>14.25</v>
      </c>
      <c r="I30" s="17">
        <f>E30*9.45/100</f>
        <v>23.625</v>
      </c>
      <c r="J30" s="25">
        <f>F30*9.45/100</f>
        <v>23.625</v>
      </c>
      <c r="K30" s="17">
        <f>E30*9.4/100</f>
        <v>23.5</v>
      </c>
      <c r="L30" s="25">
        <f>F30*9.4/100</f>
        <v>23.5</v>
      </c>
      <c r="M30" s="17">
        <f>G30*4+I30*9+K30*4</f>
        <v>363.625</v>
      </c>
      <c r="N30" s="27">
        <f>H30*4+J30*9+L30*4</f>
        <v>363.625</v>
      </c>
    </row>
    <row r="31" spans="2:26" x14ac:dyDescent="0.3">
      <c r="B31" s="221"/>
      <c r="C31" s="103" t="s">
        <v>41</v>
      </c>
      <c r="D31" s="9" t="s">
        <v>42</v>
      </c>
      <c r="E31" s="55">
        <v>200</v>
      </c>
      <c r="F31" s="24">
        <v>200</v>
      </c>
      <c r="G31" s="17">
        <f>E31*0.6/200</f>
        <v>0.6</v>
      </c>
      <c r="H31" s="25">
        <f>F31*0.6/200</f>
        <v>0.6</v>
      </c>
      <c r="I31" s="17">
        <f t="shared" ref="I31:J31" si="15">E31*0.1/200</f>
        <v>0.1</v>
      </c>
      <c r="J31" s="25">
        <f t="shared" si="15"/>
        <v>0.1</v>
      </c>
      <c r="K31" s="17">
        <f>E31*20.1/200</f>
        <v>20.100000000000001</v>
      </c>
      <c r="L31" s="25">
        <f>F31*20.1/200</f>
        <v>20.100000000000001</v>
      </c>
      <c r="M31" s="17">
        <f t="shared" si="14"/>
        <v>83.7</v>
      </c>
      <c r="N31" s="27">
        <f t="shared" si="14"/>
        <v>83.7</v>
      </c>
      <c r="Q31" s="12" t="s">
        <v>17</v>
      </c>
    </row>
    <row r="32" spans="2:26" x14ac:dyDescent="0.3">
      <c r="B32" s="221"/>
      <c r="C32" s="16" t="s">
        <v>56</v>
      </c>
      <c r="D32" s="6" t="s">
        <v>16</v>
      </c>
      <c r="E32" s="45">
        <v>25</v>
      </c>
      <c r="F32" s="46">
        <v>25</v>
      </c>
      <c r="G32" s="17">
        <f>E32*8/100</f>
        <v>2</v>
      </c>
      <c r="H32" s="25">
        <f>F32*8/100</f>
        <v>2</v>
      </c>
      <c r="I32" s="17">
        <f>E32*1.5/100</f>
        <v>0.375</v>
      </c>
      <c r="J32" s="25">
        <f>F32*1.5/100</f>
        <v>0.375</v>
      </c>
      <c r="K32" s="17">
        <f>E32*40.1/100</f>
        <v>10.025</v>
      </c>
      <c r="L32" s="25">
        <f>F32*40.1/100</f>
        <v>10.025</v>
      </c>
      <c r="M32" s="17">
        <f t="shared" si="14"/>
        <v>51.475000000000001</v>
      </c>
      <c r="N32" s="27">
        <f t="shared" si="14"/>
        <v>51.475000000000001</v>
      </c>
    </row>
    <row r="33" spans="2:19" x14ac:dyDescent="0.3">
      <c r="B33" s="221"/>
      <c r="C33" s="16" t="s">
        <v>57</v>
      </c>
      <c r="D33" s="6" t="s">
        <v>58</v>
      </c>
      <c r="E33" s="45">
        <v>50</v>
      </c>
      <c r="F33" s="46">
        <v>50</v>
      </c>
      <c r="G33" s="17">
        <f>E33*7.6/100</f>
        <v>3.8</v>
      </c>
      <c r="H33" s="25">
        <f>F33*7.6/100</f>
        <v>3.8</v>
      </c>
      <c r="I33" s="17">
        <f>E33*0.8/100</f>
        <v>0.4</v>
      </c>
      <c r="J33" s="25">
        <f>F33*0.8/100</f>
        <v>0.4</v>
      </c>
      <c r="K33" s="17">
        <f>E33*49.2/100</f>
        <v>24.6</v>
      </c>
      <c r="L33" s="25">
        <f>F33*49.2/100</f>
        <v>24.6</v>
      </c>
      <c r="M33" s="17">
        <f t="shared" si="14"/>
        <v>117.2</v>
      </c>
      <c r="N33" s="27">
        <f t="shared" si="14"/>
        <v>117.2</v>
      </c>
    </row>
    <row r="34" spans="2:19" ht="15" thickBot="1" x14ac:dyDescent="0.35">
      <c r="B34" s="222"/>
      <c r="C34" s="98"/>
      <c r="D34" s="13" t="s">
        <v>11</v>
      </c>
      <c r="E34" s="69">
        <f t="shared" ref="E34:N34" si="16">SUM(E29:E33)</f>
        <v>725</v>
      </c>
      <c r="F34" s="70">
        <f t="shared" si="16"/>
        <v>775</v>
      </c>
      <c r="G34" s="15">
        <f t="shared" si="16"/>
        <v>24.250000000000004</v>
      </c>
      <c r="H34" s="32">
        <f t="shared" si="16"/>
        <v>25.150000000000002</v>
      </c>
      <c r="I34" s="15">
        <f t="shared" si="16"/>
        <v>30.28</v>
      </c>
      <c r="J34" s="32">
        <f t="shared" si="16"/>
        <v>31.725000000000001</v>
      </c>
      <c r="K34" s="15">
        <f t="shared" si="16"/>
        <v>85.465000000000003</v>
      </c>
      <c r="L34" s="32">
        <f t="shared" si="16"/>
        <v>87.275000000000006</v>
      </c>
      <c r="M34" s="15">
        <f t="shared" si="16"/>
        <v>711.38000000000011</v>
      </c>
      <c r="N34" s="34">
        <f t="shared" si="16"/>
        <v>735.22500000000014</v>
      </c>
    </row>
    <row r="35" spans="2:19" ht="15" customHeight="1" x14ac:dyDescent="0.3">
      <c r="B35" s="187" t="s">
        <v>132</v>
      </c>
      <c r="C35" s="194" t="s">
        <v>164</v>
      </c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1"/>
    </row>
    <row r="36" spans="2:19" x14ac:dyDescent="0.3">
      <c r="B36" s="188"/>
      <c r="C36" s="103" t="s">
        <v>148</v>
      </c>
      <c r="D36" s="9" t="s">
        <v>149</v>
      </c>
      <c r="E36" s="55">
        <v>90</v>
      </c>
      <c r="F36" s="24">
        <v>100</v>
      </c>
      <c r="G36" s="17">
        <f>E36*13.5/100</f>
        <v>12.15</v>
      </c>
      <c r="H36" s="25">
        <f>F36*13.5/100</f>
        <v>13.5</v>
      </c>
      <c r="I36" s="17">
        <f>E36*21/100</f>
        <v>18.899999999999999</v>
      </c>
      <c r="J36" s="25">
        <f>F36*21/100</f>
        <v>21</v>
      </c>
      <c r="K36" s="17">
        <f>E36*9.9/100</f>
        <v>8.91</v>
      </c>
      <c r="L36" s="25">
        <f>F36*9.9/100</f>
        <v>9.9</v>
      </c>
      <c r="M36" s="17">
        <f t="shared" ref="M36:M37" si="17">G36*4+I36*9+K36*4</f>
        <v>254.33999999999997</v>
      </c>
      <c r="N36" s="27">
        <f t="shared" ref="N36:N37" si="18">H36*4+J36*9+L36*4</f>
        <v>282.60000000000002</v>
      </c>
    </row>
    <row r="37" spans="2:19" x14ac:dyDescent="0.3">
      <c r="B37" s="188"/>
      <c r="C37" s="16" t="s">
        <v>28</v>
      </c>
      <c r="D37" s="6" t="s">
        <v>9</v>
      </c>
      <c r="E37" s="55">
        <v>150</v>
      </c>
      <c r="F37" s="24">
        <v>180</v>
      </c>
      <c r="G37" s="17">
        <f>E37*3.63/100</f>
        <v>5.4450000000000003</v>
      </c>
      <c r="H37" s="25">
        <f>F37*3.63/100</f>
        <v>6.5339999999999998</v>
      </c>
      <c r="I37" s="17">
        <f>E37*4.5/100</f>
        <v>6.75</v>
      </c>
      <c r="J37" s="25">
        <f>F37*4.5/100</f>
        <v>8.1</v>
      </c>
      <c r="K37" s="17">
        <f>E37*22.5/100</f>
        <v>33.75</v>
      </c>
      <c r="L37" s="25">
        <f>F37*22.5/100</f>
        <v>40.5</v>
      </c>
      <c r="M37" s="17">
        <f t="shared" si="17"/>
        <v>217.53</v>
      </c>
      <c r="N37" s="27">
        <f t="shared" si="18"/>
        <v>261.036</v>
      </c>
    </row>
    <row r="38" spans="2:19" x14ac:dyDescent="0.3">
      <c r="B38" s="188"/>
      <c r="C38" s="103" t="s">
        <v>48</v>
      </c>
      <c r="D38" s="9" t="s">
        <v>49</v>
      </c>
      <c r="E38" s="55">
        <v>40</v>
      </c>
      <c r="F38" s="24">
        <v>50</v>
      </c>
      <c r="G38" s="17">
        <f>E38*1.3/50</f>
        <v>1.04</v>
      </c>
      <c r="H38" s="25">
        <f>F38*1.3/50</f>
        <v>1.3</v>
      </c>
      <c r="I38" s="17">
        <f>E38*4.8/50</f>
        <v>3.84</v>
      </c>
      <c r="J38" s="25">
        <f>F38*4.8/50</f>
        <v>4.8</v>
      </c>
      <c r="K38" s="17">
        <f>E38*4.7/50</f>
        <v>3.76</v>
      </c>
      <c r="L38" s="25">
        <f>F38*4.7/50</f>
        <v>4.7</v>
      </c>
      <c r="M38" s="17">
        <f t="shared" ref="M38:N41" si="19">G38*4+I38*9+K38*4</f>
        <v>53.76</v>
      </c>
      <c r="N38" s="27">
        <f t="shared" si="19"/>
        <v>67.2</v>
      </c>
    </row>
    <row r="39" spans="2:19" x14ac:dyDescent="0.3">
      <c r="B39" s="188"/>
      <c r="C39" s="16" t="s">
        <v>39</v>
      </c>
      <c r="D39" s="6" t="s">
        <v>10</v>
      </c>
      <c r="E39" s="55">
        <v>200</v>
      </c>
      <c r="F39" s="24">
        <v>180</v>
      </c>
      <c r="G39" s="17">
        <f>E39*0.3/200</f>
        <v>0.3</v>
      </c>
      <c r="H39" s="25">
        <f>F39*0.3/200</f>
        <v>0.27</v>
      </c>
      <c r="I39" s="17">
        <f t="shared" ref="I39:J39" si="20">E39*0.1/200</f>
        <v>0.1</v>
      </c>
      <c r="J39" s="25">
        <f t="shared" si="20"/>
        <v>0.09</v>
      </c>
      <c r="K39" s="17">
        <f>E39*9.5/200</f>
        <v>9.5</v>
      </c>
      <c r="L39" s="25">
        <f>F39*9.5/200</f>
        <v>8.5500000000000007</v>
      </c>
      <c r="M39" s="17">
        <f t="shared" si="19"/>
        <v>40.1</v>
      </c>
      <c r="N39" s="27">
        <f t="shared" si="19"/>
        <v>36.090000000000003</v>
      </c>
    </row>
    <row r="40" spans="2:19" x14ac:dyDescent="0.3">
      <c r="B40" s="188"/>
      <c r="C40" s="16" t="s">
        <v>56</v>
      </c>
      <c r="D40" s="6" t="s">
        <v>16</v>
      </c>
      <c r="E40" s="45">
        <v>20</v>
      </c>
      <c r="F40" s="46">
        <v>20</v>
      </c>
      <c r="G40" s="17">
        <f>E40*8/100</f>
        <v>1.6</v>
      </c>
      <c r="H40" s="25">
        <f>F40*8/100</f>
        <v>1.6</v>
      </c>
      <c r="I40" s="17">
        <f>E40*1.5/100</f>
        <v>0.3</v>
      </c>
      <c r="J40" s="25">
        <f>F40*1.5/100</f>
        <v>0.3</v>
      </c>
      <c r="K40" s="17">
        <f>E40*40.1/100</f>
        <v>8.02</v>
      </c>
      <c r="L40" s="25">
        <f>F40*40.1/100</f>
        <v>8.02</v>
      </c>
      <c r="M40" s="17">
        <f t="shared" si="19"/>
        <v>41.18</v>
      </c>
      <c r="N40" s="27">
        <f t="shared" si="19"/>
        <v>41.18</v>
      </c>
    </row>
    <row r="41" spans="2:19" x14ac:dyDescent="0.3">
      <c r="B41" s="188"/>
      <c r="C41" s="16" t="s">
        <v>57</v>
      </c>
      <c r="D41" s="6" t="s">
        <v>58</v>
      </c>
      <c r="E41" s="45">
        <v>20</v>
      </c>
      <c r="F41" s="46">
        <v>20</v>
      </c>
      <c r="G41" s="17">
        <f>E41*7.6/100</f>
        <v>1.52</v>
      </c>
      <c r="H41" s="25">
        <f>F41*7.6/100</f>
        <v>1.52</v>
      </c>
      <c r="I41" s="17">
        <f>E41*0.8/100</f>
        <v>0.16</v>
      </c>
      <c r="J41" s="25">
        <f>F41*0.8/100</f>
        <v>0.16</v>
      </c>
      <c r="K41" s="17">
        <f>E41*49.2/100</f>
        <v>9.84</v>
      </c>
      <c r="L41" s="25">
        <f>F41*49.2/100</f>
        <v>9.84</v>
      </c>
      <c r="M41" s="17">
        <f t="shared" si="19"/>
        <v>46.879999999999995</v>
      </c>
      <c r="N41" s="27">
        <f t="shared" si="19"/>
        <v>46.879999999999995</v>
      </c>
    </row>
    <row r="42" spans="2:19" x14ac:dyDescent="0.3">
      <c r="B42" s="188"/>
      <c r="C42" s="100"/>
      <c r="D42" s="4" t="s">
        <v>165</v>
      </c>
      <c r="E42" s="19">
        <f t="shared" ref="E42:N42" si="21">SUM(E36:E41)</f>
        <v>520</v>
      </c>
      <c r="F42" s="104">
        <f t="shared" si="21"/>
        <v>550</v>
      </c>
      <c r="G42" s="7">
        <f t="shared" si="21"/>
        <v>22.055</v>
      </c>
      <c r="H42" s="26">
        <f t="shared" si="21"/>
        <v>24.724</v>
      </c>
      <c r="I42" s="7">
        <f t="shared" si="21"/>
        <v>30.05</v>
      </c>
      <c r="J42" s="104">
        <f t="shared" si="21"/>
        <v>34.449999999999996</v>
      </c>
      <c r="K42" s="7">
        <f t="shared" si="21"/>
        <v>73.78</v>
      </c>
      <c r="L42" s="26">
        <f t="shared" si="21"/>
        <v>81.510000000000005</v>
      </c>
      <c r="M42" s="7">
        <f t="shared" si="21"/>
        <v>653.79</v>
      </c>
      <c r="N42" s="28">
        <f t="shared" si="21"/>
        <v>734.98599999999999</v>
      </c>
    </row>
    <row r="43" spans="2:19" x14ac:dyDescent="0.3">
      <c r="B43" s="188"/>
      <c r="C43" s="195" t="s">
        <v>8</v>
      </c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3"/>
    </row>
    <row r="44" spans="2:19" x14ac:dyDescent="0.3">
      <c r="B44" s="188"/>
      <c r="C44" s="43" t="s">
        <v>147</v>
      </c>
      <c r="D44" s="84" t="s">
        <v>152</v>
      </c>
      <c r="E44" s="102">
        <v>200</v>
      </c>
      <c r="F44" s="35">
        <v>250</v>
      </c>
      <c r="G44" s="17">
        <f>E44*1.93/100</f>
        <v>3.86</v>
      </c>
      <c r="H44" s="25">
        <f>F44*1.93/100</f>
        <v>4.8250000000000002</v>
      </c>
      <c r="I44" s="17">
        <f>E44*2.85/100</f>
        <v>5.7</v>
      </c>
      <c r="J44" s="25">
        <f>F44*2.85/100</f>
        <v>7.125</v>
      </c>
      <c r="K44" s="17">
        <f>E44*5.96/100</f>
        <v>11.92</v>
      </c>
      <c r="L44" s="25">
        <f>F44*5.96/100</f>
        <v>14.9</v>
      </c>
      <c r="M44" s="18">
        <f t="shared" ref="M44:N49" si="22">G44*4+I44*9+K44*4</f>
        <v>114.42000000000002</v>
      </c>
      <c r="N44" s="33">
        <f t="shared" si="22"/>
        <v>143.02500000000001</v>
      </c>
    </row>
    <row r="45" spans="2:19" x14ac:dyDescent="0.3">
      <c r="B45" s="188"/>
      <c r="C45" s="103" t="s">
        <v>148</v>
      </c>
      <c r="D45" s="9" t="s">
        <v>149</v>
      </c>
      <c r="E45" s="55">
        <v>90</v>
      </c>
      <c r="F45" s="24">
        <v>100</v>
      </c>
      <c r="G45" s="17">
        <f>E45*13.5/100</f>
        <v>12.15</v>
      </c>
      <c r="H45" s="25">
        <f>F45*13.5/100</f>
        <v>13.5</v>
      </c>
      <c r="I45" s="17">
        <f>E45*21/100</f>
        <v>18.899999999999999</v>
      </c>
      <c r="J45" s="25">
        <f>F45*21/100</f>
        <v>21</v>
      </c>
      <c r="K45" s="17">
        <f>E45*9.9/100</f>
        <v>8.91</v>
      </c>
      <c r="L45" s="25">
        <f>F45*9.9/100</f>
        <v>9.9</v>
      </c>
      <c r="M45" s="17">
        <f t="shared" si="22"/>
        <v>254.33999999999997</v>
      </c>
      <c r="N45" s="27">
        <f t="shared" si="22"/>
        <v>282.60000000000002</v>
      </c>
    </row>
    <row r="46" spans="2:19" x14ac:dyDescent="0.3">
      <c r="B46" s="188"/>
      <c r="C46" s="16" t="s">
        <v>28</v>
      </c>
      <c r="D46" s="6" t="s">
        <v>9</v>
      </c>
      <c r="E46" s="55">
        <v>150</v>
      </c>
      <c r="F46" s="24">
        <v>180</v>
      </c>
      <c r="G46" s="17">
        <f>E46*3.63/100</f>
        <v>5.4450000000000003</v>
      </c>
      <c r="H46" s="25">
        <f>F46*3.63/100</f>
        <v>6.5339999999999998</v>
      </c>
      <c r="I46" s="17">
        <f>E46*4.5/100</f>
        <v>6.75</v>
      </c>
      <c r="J46" s="25">
        <f>F46*4.5/100</f>
        <v>8.1</v>
      </c>
      <c r="K46" s="17">
        <f>E46*22.5/100</f>
        <v>33.75</v>
      </c>
      <c r="L46" s="25">
        <f>F46*22.5/100</f>
        <v>40.5</v>
      </c>
      <c r="M46" s="17">
        <f t="shared" si="22"/>
        <v>217.53</v>
      </c>
      <c r="N46" s="27">
        <f t="shared" si="22"/>
        <v>261.036</v>
      </c>
      <c r="S46" s="12" t="s">
        <v>17</v>
      </c>
    </row>
    <row r="47" spans="2:19" x14ac:dyDescent="0.3">
      <c r="B47" s="188"/>
      <c r="C47" s="16" t="s">
        <v>39</v>
      </c>
      <c r="D47" s="6" t="s">
        <v>10</v>
      </c>
      <c r="E47" s="55">
        <v>200</v>
      </c>
      <c r="F47" s="24">
        <v>200</v>
      </c>
      <c r="G47" s="17">
        <f>E47*0.3/200</f>
        <v>0.3</v>
      </c>
      <c r="H47" s="25">
        <f>F47*0.3/200</f>
        <v>0.3</v>
      </c>
      <c r="I47" s="17">
        <f t="shared" ref="I47:J47" si="23">E47*0.1/200</f>
        <v>0.1</v>
      </c>
      <c r="J47" s="25">
        <f t="shared" si="23"/>
        <v>0.1</v>
      </c>
      <c r="K47" s="17">
        <f>E47*9.5/200</f>
        <v>9.5</v>
      </c>
      <c r="L47" s="25">
        <f>F47*9.5/200</f>
        <v>9.5</v>
      </c>
      <c r="M47" s="17">
        <f t="shared" si="22"/>
        <v>40.1</v>
      </c>
      <c r="N47" s="27">
        <f t="shared" si="22"/>
        <v>40.1</v>
      </c>
    </row>
    <row r="48" spans="2:19" x14ac:dyDescent="0.3">
      <c r="B48" s="188"/>
      <c r="C48" s="16" t="s">
        <v>56</v>
      </c>
      <c r="D48" s="6" t="s">
        <v>16</v>
      </c>
      <c r="E48" s="45">
        <v>20</v>
      </c>
      <c r="F48" s="46">
        <v>20</v>
      </c>
      <c r="G48" s="17">
        <f>E48*8/100</f>
        <v>1.6</v>
      </c>
      <c r="H48" s="25">
        <f>F48*8/100</f>
        <v>1.6</v>
      </c>
      <c r="I48" s="17">
        <f>E48*1.5/100</f>
        <v>0.3</v>
      </c>
      <c r="J48" s="25">
        <f>F48*1.5/100</f>
        <v>0.3</v>
      </c>
      <c r="K48" s="17">
        <f>E48*40.1/100</f>
        <v>8.02</v>
      </c>
      <c r="L48" s="25">
        <f>F48*40.1/100</f>
        <v>8.02</v>
      </c>
      <c r="M48" s="17">
        <f t="shared" si="22"/>
        <v>41.18</v>
      </c>
      <c r="N48" s="27">
        <f t="shared" si="22"/>
        <v>41.18</v>
      </c>
    </row>
    <row r="49" spans="2:14" x14ac:dyDescent="0.3">
      <c r="B49" s="188"/>
      <c r="C49" s="16" t="s">
        <v>57</v>
      </c>
      <c r="D49" s="6" t="s">
        <v>58</v>
      </c>
      <c r="E49" s="45">
        <v>40</v>
      </c>
      <c r="F49" s="46">
        <v>40</v>
      </c>
      <c r="G49" s="17">
        <f>E49*7.6/100</f>
        <v>3.04</v>
      </c>
      <c r="H49" s="25">
        <f>F49*7.6/100</f>
        <v>3.04</v>
      </c>
      <c r="I49" s="17">
        <f>E49*0.8/100</f>
        <v>0.32</v>
      </c>
      <c r="J49" s="25">
        <f>F49*0.8/100</f>
        <v>0.32</v>
      </c>
      <c r="K49" s="17">
        <f>E49*49.2/100</f>
        <v>19.68</v>
      </c>
      <c r="L49" s="25">
        <f>F49*49.2/100</f>
        <v>19.68</v>
      </c>
      <c r="M49" s="17">
        <f t="shared" si="22"/>
        <v>93.759999999999991</v>
      </c>
      <c r="N49" s="27">
        <f t="shared" si="22"/>
        <v>93.759999999999991</v>
      </c>
    </row>
    <row r="50" spans="2:14" x14ac:dyDescent="0.3">
      <c r="B50" s="188"/>
      <c r="C50" s="47"/>
      <c r="D50" s="4" t="s">
        <v>11</v>
      </c>
      <c r="E50" s="19">
        <f t="shared" ref="E50:N50" si="24">SUM(E44:E49)</f>
        <v>700</v>
      </c>
      <c r="F50" s="104">
        <f t="shared" si="24"/>
        <v>790</v>
      </c>
      <c r="G50" s="7">
        <f t="shared" si="24"/>
        <v>26.395000000000003</v>
      </c>
      <c r="H50" s="26">
        <f t="shared" si="24"/>
        <v>29.798999999999999</v>
      </c>
      <c r="I50" s="19">
        <f t="shared" si="24"/>
        <v>32.07</v>
      </c>
      <c r="J50" s="26">
        <f t="shared" si="24"/>
        <v>36.945</v>
      </c>
      <c r="K50" s="19">
        <f t="shared" si="24"/>
        <v>91.78</v>
      </c>
      <c r="L50" s="104">
        <f t="shared" si="24"/>
        <v>102.5</v>
      </c>
      <c r="M50" s="19">
        <f t="shared" si="24"/>
        <v>761.32999999999993</v>
      </c>
      <c r="N50" s="28">
        <f t="shared" si="24"/>
        <v>861.70100000000002</v>
      </c>
    </row>
    <row r="51" spans="2:14" x14ac:dyDescent="0.3">
      <c r="B51" s="188"/>
      <c r="C51" s="223" t="s">
        <v>108</v>
      </c>
      <c r="D51" s="224"/>
      <c r="E51" s="224"/>
      <c r="F51" s="224"/>
      <c r="G51" s="224"/>
      <c r="H51" s="224"/>
      <c r="I51" s="224"/>
      <c r="J51" s="224"/>
      <c r="K51" s="224"/>
      <c r="L51" s="224"/>
      <c r="M51" s="224"/>
      <c r="N51" s="225"/>
    </row>
    <row r="52" spans="2:14" ht="15" thickBot="1" x14ac:dyDescent="0.35">
      <c r="B52" s="189"/>
      <c r="C52" s="20" t="s">
        <v>150</v>
      </c>
      <c r="D52" s="106" t="s">
        <v>151</v>
      </c>
      <c r="E52" s="14">
        <v>200</v>
      </c>
      <c r="F52" s="31">
        <v>250</v>
      </c>
      <c r="G52" s="66">
        <f>E52*2.43/100</f>
        <v>4.8600000000000003</v>
      </c>
      <c r="H52" s="67">
        <f>F52*2.43/100</f>
        <v>6.0750000000000002</v>
      </c>
      <c r="I52" s="66">
        <f>E52*3.38/100</f>
        <v>6.76</v>
      </c>
      <c r="J52" s="67">
        <f>F52*3.38/100</f>
        <v>8.4499999999999993</v>
      </c>
      <c r="K52" s="66">
        <f>E52*6.57/100</f>
        <v>13.14</v>
      </c>
      <c r="L52" s="67">
        <f>F52*6.57/100</f>
        <v>16.425000000000001</v>
      </c>
      <c r="M52" s="107">
        <f t="shared" ref="M52:N52" si="25">G52*4+I52*9+K52*4</f>
        <v>132.84</v>
      </c>
      <c r="N52" s="108">
        <f t="shared" si="25"/>
        <v>166.05</v>
      </c>
    </row>
    <row r="57" spans="2:14" x14ac:dyDescent="0.3">
      <c r="D57" s="12" t="s">
        <v>17</v>
      </c>
    </row>
    <row r="62" spans="2:14" x14ac:dyDescent="0.3">
      <c r="F62" s="12" t="s">
        <v>17</v>
      </c>
    </row>
  </sheetData>
  <mergeCells count="20">
    <mergeCell ref="M3:N4"/>
    <mergeCell ref="G4:H4"/>
    <mergeCell ref="I4:J4"/>
    <mergeCell ref="K4:L4"/>
    <mergeCell ref="B3:B5"/>
    <mergeCell ref="C3:C5"/>
    <mergeCell ref="D3:D5"/>
    <mergeCell ref="E3:F4"/>
    <mergeCell ref="G3:L3"/>
    <mergeCell ref="B35:B52"/>
    <mergeCell ref="C35:N35"/>
    <mergeCell ref="C43:N43"/>
    <mergeCell ref="C19:N19"/>
    <mergeCell ref="C51:N51"/>
    <mergeCell ref="B6:B21"/>
    <mergeCell ref="C6:N6"/>
    <mergeCell ref="C12:N12"/>
    <mergeCell ref="B22:B34"/>
    <mergeCell ref="C22:N22"/>
    <mergeCell ref="C28:N28"/>
  </mergeCells>
  <pageMargins left="0.23622047244094491" right="0.23622047244094491" top="0.19685039370078741" bottom="0.19685039370078741" header="0.31496062992125984" footer="0.31496062992125984"/>
  <pageSetup paperSize="9" scale="7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Z60"/>
  <sheetViews>
    <sheetView zoomScale="90" zoomScaleNormal="90" zoomScalePageLayoutView="90" workbookViewId="0">
      <selection activeCell="E43" sqref="E43"/>
    </sheetView>
  </sheetViews>
  <sheetFormatPr defaultColWidth="9.109375" defaultRowHeight="14.4" x14ac:dyDescent="0.3"/>
  <cols>
    <col min="1" max="1" width="6.44140625" style="12" customWidth="1"/>
    <col min="2" max="2" width="2.6640625" style="12" customWidth="1"/>
    <col min="3" max="3" width="10.5546875" style="12" customWidth="1"/>
    <col min="4" max="4" width="42.6640625" style="12" customWidth="1"/>
    <col min="5" max="6" width="7.33203125" style="12" customWidth="1"/>
    <col min="7" max="7" width="6.6640625" style="12" customWidth="1"/>
    <col min="8" max="8" width="6.88671875" style="12" customWidth="1"/>
    <col min="9" max="9" width="6.44140625" style="12" customWidth="1"/>
    <col min="10" max="10" width="6.5546875" style="12" customWidth="1"/>
    <col min="11" max="11" width="7.5546875" style="12" customWidth="1"/>
    <col min="12" max="12" width="7.44140625" style="12" customWidth="1"/>
    <col min="13" max="13" width="8.5546875" style="12" customWidth="1"/>
    <col min="14" max="14" width="9.5546875" style="12" customWidth="1"/>
    <col min="15" max="15" width="9" style="12" customWidth="1"/>
    <col min="16" max="16" width="7.33203125" style="12" customWidth="1"/>
    <col min="17" max="20" width="9.109375" style="12"/>
    <col min="21" max="21" width="7.33203125" style="12" customWidth="1"/>
    <col min="22" max="22" width="7.6640625" style="12" customWidth="1"/>
    <col min="23" max="23" width="9.109375" style="12"/>
    <col min="24" max="24" width="7.6640625" style="12" customWidth="1"/>
    <col min="25" max="16384" width="9.109375" style="12"/>
  </cols>
  <sheetData>
    <row r="2" spans="2:26" ht="15" customHeight="1" thickBot="1" x14ac:dyDescent="0.3">
      <c r="O2" s="2"/>
      <c r="P2" s="2"/>
      <c r="Q2" s="1"/>
      <c r="R2" s="1"/>
      <c r="S2" s="1"/>
      <c r="T2" s="1"/>
      <c r="U2" s="2"/>
      <c r="V2" s="2"/>
      <c r="W2" s="1"/>
      <c r="X2" s="1"/>
      <c r="Y2" s="1"/>
      <c r="Z2" s="1"/>
    </row>
    <row r="3" spans="2:26" ht="15" customHeight="1" x14ac:dyDescent="0.3">
      <c r="B3" s="196" t="s">
        <v>33</v>
      </c>
      <c r="C3" s="199" t="s">
        <v>0</v>
      </c>
      <c r="D3" s="202" t="s">
        <v>1</v>
      </c>
      <c r="E3" s="205" t="s">
        <v>6</v>
      </c>
      <c r="F3" s="206"/>
      <c r="G3" s="209" t="s">
        <v>7</v>
      </c>
      <c r="H3" s="209"/>
      <c r="I3" s="209"/>
      <c r="J3" s="209"/>
      <c r="K3" s="209"/>
      <c r="L3" s="209"/>
      <c r="M3" s="210" t="s">
        <v>5</v>
      </c>
      <c r="N3" s="211"/>
      <c r="O3" s="1"/>
      <c r="P3" s="3"/>
      <c r="Q3" s="5"/>
      <c r="R3" s="5"/>
      <c r="S3" s="5"/>
      <c r="T3" s="5"/>
      <c r="U3" s="1"/>
      <c r="V3" s="3"/>
      <c r="W3" s="5"/>
      <c r="X3" s="5"/>
      <c r="Y3" s="5"/>
      <c r="Z3" s="5"/>
    </row>
    <row r="4" spans="2:26" x14ac:dyDescent="0.3">
      <c r="B4" s="197"/>
      <c r="C4" s="200"/>
      <c r="D4" s="203"/>
      <c r="E4" s="207"/>
      <c r="F4" s="208"/>
      <c r="G4" s="214" t="s">
        <v>3</v>
      </c>
      <c r="H4" s="214"/>
      <c r="I4" s="212" t="s">
        <v>2</v>
      </c>
      <c r="J4" s="212"/>
      <c r="K4" s="214" t="s">
        <v>4</v>
      </c>
      <c r="L4" s="214"/>
      <c r="M4" s="212"/>
      <c r="N4" s="213"/>
      <c r="O4" s="1"/>
      <c r="P4" s="3"/>
      <c r="Q4" s="5"/>
      <c r="R4" s="5"/>
      <c r="S4" s="5"/>
      <c r="T4" s="5"/>
      <c r="U4" s="1"/>
      <c r="V4" s="3"/>
      <c r="W4" s="5"/>
      <c r="X4" s="5"/>
      <c r="Y4" s="5"/>
      <c r="Z4" s="5"/>
    </row>
    <row r="5" spans="2:26" ht="27.75" customHeight="1" thickBot="1" x14ac:dyDescent="0.35">
      <c r="B5" s="198"/>
      <c r="C5" s="201"/>
      <c r="D5" s="204"/>
      <c r="E5" s="21" t="s">
        <v>12</v>
      </c>
      <c r="F5" s="22" t="s">
        <v>38</v>
      </c>
      <c r="G5" s="21" t="s">
        <v>12</v>
      </c>
      <c r="H5" s="22" t="s">
        <v>38</v>
      </c>
      <c r="I5" s="21" t="s">
        <v>12</v>
      </c>
      <c r="J5" s="22" t="s">
        <v>38</v>
      </c>
      <c r="K5" s="21" t="s">
        <v>12</v>
      </c>
      <c r="L5" s="22" t="s">
        <v>38</v>
      </c>
      <c r="M5" s="21" t="s">
        <v>12</v>
      </c>
      <c r="N5" s="23" t="s">
        <v>38</v>
      </c>
      <c r="O5" s="1"/>
      <c r="P5" s="3"/>
      <c r="Q5" s="5"/>
      <c r="R5" s="5"/>
      <c r="S5" s="5"/>
      <c r="T5" s="5"/>
      <c r="U5" s="1"/>
      <c r="V5" s="3"/>
      <c r="W5" s="5"/>
      <c r="X5" s="5"/>
      <c r="Y5" s="5"/>
      <c r="Z5" s="5"/>
    </row>
    <row r="6" spans="2:26" x14ac:dyDescent="0.3">
      <c r="B6" s="187" t="s">
        <v>133</v>
      </c>
      <c r="C6" s="194" t="s">
        <v>164</v>
      </c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1"/>
      <c r="O6" s="1"/>
      <c r="P6" s="3"/>
      <c r="Q6" s="5"/>
      <c r="R6" s="5"/>
      <c r="S6" s="5"/>
      <c r="T6" s="5"/>
      <c r="U6" s="1"/>
      <c r="V6" s="3"/>
      <c r="W6" s="5"/>
      <c r="X6" s="5"/>
      <c r="Y6" s="5"/>
      <c r="Z6" s="5"/>
    </row>
    <row r="7" spans="2:26" x14ac:dyDescent="0.3">
      <c r="B7" s="188"/>
      <c r="C7" s="103" t="s">
        <v>102</v>
      </c>
      <c r="D7" s="9" t="s">
        <v>103</v>
      </c>
      <c r="E7" s="55">
        <v>90</v>
      </c>
      <c r="F7" s="24">
        <v>100</v>
      </c>
      <c r="G7" s="17">
        <f>E7*12/100</f>
        <v>10.8</v>
      </c>
      <c r="H7" s="25">
        <f>F7*12/100</f>
        <v>12</v>
      </c>
      <c r="I7" s="17">
        <f>E7*24/100</f>
        <v>21.6</v>
      </c>
      <c r="J7" s="25">
        <f>F7*24/100</f>
        <v>24</v>
      </c>
      <c r="K7" s="17">
        <f>E7*5/100</f>
        <v>4.5</v>
      </c>
      <c r="L7" s="25">
        <f>F7*5/100</f>
        <v>5</v>
      </c>
      <c r="M7" s="17">
        <f t="shared" ref="M7:M11" si="0">G7*4+I7*9+K7*4</f>
        <v>255.60000000000002</v>
      </c>
      <c r="N7" s="27">
        <f t="shared" ref="N7:N11" si="1">H7*4+J7*9+L7*4</f>
        <v>284</v>
      </c>
      <c r="O7" s="1"/>
      <c r="P7" s="3"/>
      <c r="Q7" s="5"/>
      <c r="R7" s="5"/>
      <c r="S7" s="5"/>
      <c r="T7" s="5"/>
      <c r="U7" s="1"/>
      <c r="V7" s="3"/>
      <c r="W7" s="5"/>
      <c r="X7" s="5"/>
      <c r="Y7" s="5"/>
      <c r="Z7" s="5"/>
    </row>
    <row r="8" spans="2:26" x14ac:dyDescent="0.3">
      <c r="B8" s="188"/>
      <c r="C8" s="16" t="s">
        <v>153</v>
      </c>
      <c r="D8" s="6" t="s">
        <v>159</v>
      </c>
      <c r="E8" s="55">
        <v>150</v>
      </c>
      <c r="F8" s="24">
        <v>180</v>
      </c>
      <c r="G8" s="17">
        <f>E8*3/100</f>
        <v>4.5</v>
      </c>
      <c r="H8" s="25">
        <f>F8*3/100</f>
        <v>5.4</v>
      </c>
      <c r="I8" s="17">
        <f>E8*4.1/100</f>
        <v>6.15</v>
      </c>
      <c r="J8" s="25">
        <f>F8*4.1/100</f>
        <v>7.379999999999999</v>
      </c>
      <c r="K8" s="17">
        <f>E8*16.6/100</f>
        <v>24.9</v>
      </c>
      <c r="L8" s="25">
        <f>F8*16.6/100</f>
        <v>29.880000000000006</v>
      </c>
      <c r="M8" s="17">
        <f t="shared" si="0"/>
        <v>172.95</v>
      </c>
      <c r="N8" s="27">
        <f t="shared" si="1"/>
        <v>207.54000000000002</v>
      </c>
      <c r="O8" s="1"/>
      <c r="P8" s="3"/>
      <c r="Q8" s="5"/>
      <c r="R8" s="5"/>
      <c r="S8" s="5"/>
      <c r="T8" s="5"/>
      <c r="U8" s="1"/>
      <c r="V8" s="3"/>
      <c r="W8" s="5"/>
      <c r="X8" s="5"/>
      <c r="Y8" s="5"/>
      <c r="Z8" s="5"/>
    </row>
    <row r="9" spans="2:26" x14ac:dyDescent="0.3">
      <c r="B9" s="188"/>
      <c r="C9" s="16" t="s">
        <v>81</v>
      </c>
      <c r="D9" s="6" t="s">
        <v>82</v>
      </c>
      <c r="E9" s="55">
        <v>200</v>
      </c>
      <c r="F9" s="24">
        <v>200</v>
      </c>
      <c r="G9" s="17">
        <f>E9*0.1/200</f>
        <v>0.1</v>
      </c>
      <c r="H9" s="25">
        <f>F9*0.1/200</f>
        <v>0.1</v>
      </c>
      <c r="I9" s="53">
        <f>E9*0/100</f>
        <v>0</v>
      </c>
      <c r="J9" s="25">
        <f>F9*0/100</f>
        <v>0</v>
      </c>
      <c r="K9" s="17">
        <f>E9*24.2/200</f>
        <v>24.2</v>
      </c>
      <c r="L9" s="25">
        <f>F9*24.2/200</f>
        <v>24.2</v>
      </c>
      <c r="M9" s="17">
        <f t="shared" si="0"/>
        <v>97.2</v>
      </c>
      <c r="N9" s="27">
        <f t="shared" si="1"/>
        <v>97.2</v>
      </c>
      <c r="O9" s="1"/>
      <c r="P9" s="3"/>
      <c r="Q9" s="5"/>
      <c r="R9" s="5"/>
      <c r="S9" s="5"/>
      <c r="T9" s="5"/>
      <c r="U9" s="1"/>
      <c r="V9" s="3"/>
      <c r="W9" s="5"/>
      <c r="X9" s="5"/>
      <c r="Y9" s="5"/>
      <c r="Z9" s="5"/>
    </row>
    <row r="10" spans="2:26" x14ac:dyDescent="0.3">
      <c r="B10" s="188"/>
      <c r="C10" s="16" t="s">
        <v>56</v>
      </c>
      <c r="D10" s="6" t="s">
        <v>16</v>
      </c>
      <c r="E10" s="45">
        <v>20</v>
      </c>
      <c r="F10" s="46">
        <v>20</v>
      </c>
      <c r="G10" s="17">
        <f>E10*8/100</f>
        <v>1.6</v>
      </c>
      <c r="H10" s="25">
        <f>F10*8/100</f>
        <v>1.6</v>
      </c>
      <c r="I10" s="17">
        <f>E10*1.5/100</f>
        <v>0.3</v>
      </c>
      <c r="J10" s="25">
        <f>F10*1.5/100</f>
        <v>0.3</v>
      </c>
      <c r="K10" s="17">
        <f>E10*40.1/100</f>
        <v>8.02</v>
      </c>
      <c r="L10" s="25">
        <f>F10*40.1/100</f>
        <v>8.02</v>
      </c>
      <c r="M10" s="17">
        <f t="shared" si="0"/>
        <v>41.18</v>
      </c>
      <c r="N10" s="27">
        <f t="shared" si="1"/>
        <v>41.18</v>
      </c>
      <c r="O10" s="1"/>
      <c r="P10" s="3"/>
      <c r="Q10" s="5"/>
      <c r="R10" s="5"/>
      <c r="S10" s="5"/>
      <c r="T10" s="5"/>
      <c r="U10" s="1"/>
      <c r="V10" s="3"/>
      <c r="W10" s="5"/>
      <c r="X10" s="5"/>
      <c r="Y10" s="5"/>
      <c r="Z10" s="5"/>
    </row>
    <row r="11" spans="2:26" x14ac:dyDescent="0.3">
      <c r="B11" s="188"/>
      <c r="C11" s="16" t="s">
        <v>57</v>
      </c>
      <c r="D11" s="6" t="s">
        <v>58</v>
      </c>
      <c r="E11" s="45">
        <v>40</v>
      </c>
      <c r="F11" s="46">
        <v>40</v>
      </c>
      <c r="G11" s="17">
        <f>E11*7.6/100</f>
        <v>3.04</v>
      </c>
      <c r="H11" s="25">
        <f>F11*7.6/100</f>
        <v>3.04</v>
      </c>
      <c r="I11" s="17">
        <f>E11*0.8/100</f>
        <v>0.32</v>
      </c>
      <c r="J11" s="25">
        <f>F11*0.8/100</f>
        <v>0.32</v>
      </c>
      <c r="K11" s="17">
        <f>E11*49.2/100</f>
        <v>19.68</v>
      </c>
      <c r="L11" s="25">
        <f>F11*49.2/100</f>
        <v>19.68</v>
      </c>
      <c r="M11" s="17">
        <f t="shared" si="0"/>
        <v>93.759999999999991</v>
      </c>
      <c r="N11" s="27">
        <f t="shared" si="1"/>
        <v>93.759999999999991</v>
      </c>
      <c r="O11" s="1"/>
      <c r="P11" s="3"/>
      <c r="Q11" s="5"/>
      <c r="R11" s="5"/>
      <c r="S11" s="5"/>
      <c r="T11" s="5"/>
      <c r="U11" s="1"/>
      <c r="V11" s="3"/>
      <c r="W11" s="5"/>
      <c r="X11" s="5"/>
      <c r="Y11" s="5"/>
      <c r="Z11" s="5"/>
    </row>
    <row r="12" spans="2:26" x14ac:dyDescent="0.3">
      <c r="B12" s="188"/>
      <c r="C12" s="100"/>
      <c r="D12" s="4" t="s">
        <v>165</v>
      </c>
      <c r="E12" s="19">
        <f t="shared" ref="E12:N12" si="2">SUM(E7:E11)</f>
        <v>500</v>
      </c>
      <c r="F12" s="104">
        <f t="shared" si="2"/>
        <v>540</v>
      </c>
      <c r="G12" s="7">
        <f t="shared" si="2"/>
        <v>20.04</v>
      </c>
      <c r="H12" s="26">
        <f t="shared" si="2"/>
        <v>22.14</v>
      </c>
      <c r="I12" s="19">
        <f t="shared" si="2"/>
        <v>28.37</v>
      </c>
      <c r="J12" s="26">
        <f t="shared" si="2"/>
        <v>32</v>
      </c>
      <c r="K12" s="7">
        <f t="shared" si="2"/>
        <v>81.299999999999983</v>
      </c>
      <c r="L12" s="26">
        <f t="shared" si="2"/>
        <v>86.78</v>
      </c>
      <c r="M12" s="7">
        <f t="shared" si="2"/>
        <v>660.68999999999994</v>
      </c>
      <c r="N12" s="28">
        <f t="shared" si="2"/>
        <v>723.68</v>
      </c>
      <c r="O12" s="1"/>
      <c r="P12" s="3"/>
      <c r="Q12" s="5"/>
      <c r="R12" s="5"/>
      <c r="S12" s="5"/>
      <c r="T12" s="5"/>
      <c r="U12" s="1"/>
      <c r="V12" s="3"/>
      <c r="W12" s="5"/>
      <c r="X12" s="5"/>
      <c r="Y12" s="5"/>
      <c r="Z12" s="5"/>
    </row>
    <row r="13" spans="2:26" x14ac:dyDescent="0.3">
      <c r="B13" s="188"/>
      <c r="C13" s="195" t="s">
        <v>8</v>
      </c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3"/>
      <c r="O13" s="1"/>
      <c r="P13" s="3"/>
      <c r="Q13" s="5"/>
      <c r="R13" s="5"/>
      <c r="S13" s="5"/>
      <c r="T13" s="5"/>
      <c r="U13" s="1"/>
      <c r="V13" s="3"/>
      <c r="W13" s="5"/>
      <c r="X13" s="5"/>
      <c r="Y13" s="5"/>
      <c r="Z13" s="5"/>
    </row>
    <row r="14" spans="2:26" x14ac:dyDescent="0.3">
      <c r="B14" s="188"/>
      <c r="C14" s="103" t="s">
        <v>106</v>
      </c>
      <c r="D14" s="83" t="s">
        <v>107</v>
      </c>
      <c r="E14" s="102">
        <v>200</v>
      </c>
      <c r="F14" s="35">
        <v>250</v>
      </c>
      <c r="G14" s="17">
        <f>E14*1.77/100</f>
        <v>3.54</v>
      </c>
      <c r="H14" s="25">
        <f>F14*1.77/100</f>
        <v>4.4249999999999998</v>
      </c>
      <c r="I14" s="17">
        <f>E14*2.89/100</f>
        <v>5.78</v>
      </c>
      <c r="J14" s="25">
        <f>F14*2.89/100</f>
        <v>7.2249999999999996</v>
      </c>
      <c r="K14" s="17">
        <f>E14*4.47/100</f>
        <v>8.94</v>
      </c>
      <c r="L14" s="25">
        <f>F14*4.47/100</f>
        <v>11.175000000000001</v>
      </c>
      <c r="M14" s="17">
        <f t="shared" ref="M14:N19" si="3">G14*4+I14*9+K14*4</f>
        <v>101.94</v>
      </c>
      <c r="N14" s="27">
        <f>H14*4+J14*9+L14*4</f>
        <v>127.425</v>
      </c>
      <c r="O14" s="1"/>
      <c r="P14" s="3"/>
      <c r="Q14" s="5"/>
      <c r="R14" s="5"/>
      <c r="S14" s="5"/>
      <c r="T14" s="5"/>
      <c r="U14" s="1"/>
      <c r="V14" s="3"/>
      <c r="W14" s="5"/>
      <c r="X14" s="5"/>
      <c r="Y14" s="5"/>
      <c r="Z14" s="5"/>
    </row>
    <row r="15" spans="2:26" x14ac:dyDescent="0.3">
      <c r="B15" s="188"/>
      <c r="C15" s="103" t="s">
        <v>102</v>
      </c>
      <c r="D15" s="9" t="s">
        <v>103</v>
      </c>
      <c r="E15" s="55">
        <v>90</v>
      </c>
      <c r="F15" s="24">
        <v>100</v>
      </c>
      <c r="G15" s="17">
        <f>E15*12/100</f>
        <v>10.8</v>
      </c>
      <c r="H15" s="25">
        <f>F15*12/100</f>
        <v>12</v>
      </c>
      <c r="I15" s="17">
        <f>E15*24/100</f>
        <v>21.6</v>
      </c>
      <c r="J15" s="25">
        <f>F15*24/100</f>
        <v>24</v>
      </c>
      <c r="K15" s="17">
        <f>E15*5/100</f>
        <v>4.5</v>
      </c>
      <c r="L15" s="25">
        <f>F15*5/100</f>
        <v>5</v>
      </c>
      <c r="M15" s="17">
        <f t="shared" si="3"/>
        <v>255.60000000000002</v>
      </c>
      <c r="N15" s="27">
        <f t="shared" si="3"/>
        <v>284</v>
      </c>
      <c r="O15" s="1"/>
      <c r="P15" s="3"/>
      <c r="Q15" s="5"/>
      <c r="R15" s="5"/>
      <c r="S15" s="5"/>
      <c r="T15" s="5"/>
      <c r="U15" s="1"/>
      <c r="V15" s="3"/>
      <c r="W15" s="5"/>
      <c r="X15" s="5"/>
      <c r="Y15" s="5"/>
      <c r="Z15" s="5"/>
    </row>
    <row r="16" spans="2:26" x14ac:dyDescent="0.3">
      <c r="B16" s="188"/>
      <c r="C16" s="16" t="s">
        <v>153</v>
      </c>
      <c r="D16" s="6" t="s">
        <v>159</v>
      </c>
      <c r="E16" s="55">
        <v>150</v>
      </c>
      <c r="F16" s="24">
        <v>180</v>
      </c>
      <c r="G16" s="17">
        <f>E16*3/100</f>
        <v>4.5</v>
      </c>
      <c r="H16" s="25">
        <f>F16*3/100</f>
        <v>5.4</v>
      </c>
      <c r="I16" s="17">
        <f>E16*4.1/100</f>
        <v>6.15</v>
      </c>
      <c r="J16" s="25">
        <f>F16*4.1/100</f>
        <v>7.379999999999999</v>
      </c>
      <c r="K16" s="17">
        <f>E16*16.6/100</f>
        <v>24.9</v>
      </c>
      <c r="L16" s="25">
        <f>F16*16.6/100</f>
        <v>29.880000000000006</v>
      </c>
      <c r="M16" s="17">
        <f t="shared" si="3"/>
        <v>172.95</v>
      </c>
      <c r="N16" s="27">
        <f t="shared" si="3"/>
        <v>207.54000000000002</v>
      </c>
      <c r="O16" s="1"/>
      <c r="P16" s="3"/>
      <c r="Q16" s="5"/>
      <c r="R16" s="5"/>
      <c r="S16" s="5"/>
      <c r="T16" s="5"/>
      <c r="U16" s="1"/>
      <c r="V16" s="3"/>
      <c r="W16" s="5"/>
      <c r="X16" s="5"/>
      <c r="Y16" s="5"/>
      <c r="Z16" s="5"/>
    </row>
    <row r="17" spans="2:26" x14ac:dyDescent="0.3">
      <c r="B17" s="188"/>
      <c r="C17" s="16" t="s">
        <v>81</v>
      </c>
      <c r="D17" s="6" t="s">
        <v>82</v>
      </c>
      <c r="E17" s="55">
        <v>200</v>
      </c>
      <c r="F17" s="24">
        <v>200</v>
      </c>
      <c r="G17" s="17">
        <f>E17*0.1/200</f>
        <v>0.1</v>
      </c>
      <c r="H17" s="25">
        <f>F17*0.1/200</f>
        <v>0.1</v>
      </c>
      <c r="I17" s="53">
        <f>E17*0/100</f>
        <v>0</v>
      </c>
      <c r="J17" s="25">
        <f>F17*0/100</f>
        <v>0</v>
      </c>
      <c r="K17" s="17">
        <f>E17*24.2/200</f>
        <v>24.2</v>
      </c>
      <c r="L17" s="25">
        <f>F17*24.2/200</f>
        <v>24.2</v>
      </c>
      <c r="M17" s="17">
        <f t="shared" si="3"/>
        <v>97.2</v>
      </c>
      <c r="N17" s="27">
        <f t="shared" si="3"/>
        <v>97.2</v>
      </c>
      <c r="O17" s="1"/>
      <c r="P17" s="3"/>
      <c r="Q17" s="5" t="s">
        <v>17</v>
      </c>
      <c r="R17" s="5"/>
      <c r="S17" s="5"/>
      <c r="T17" s="5"/>
      <c r="U17" s="1"/>
      <c r="V17" s="3"/>
      <c r="W17" s="5"/>
      <c r="X17" s="5"/>
      <c r="Y17" s="5"/>
      <c r="Z17" s="5"/>
    </row>
    <row r="18" spans="2:26" x14ac:dyDescent="0.3">
      <c r="B18" s="188"/>
      <c r="C18" s="16" t="s">
        <v>56</v>
      </c>
      <c r="D18" s="6" t="s">
        <v>16</v>
      </c>
      <c r="E18" s="45">
        <v>20</v>
      </c>
      <c r="F18" s="46">
        <v>20</v>
      </c>
      <c r="G18" s="17">
        <f>E18*8/100</f>
        <v>1.6</v>
      </c>
      <c r="H18" s="25">
        <f>F18*8/100</f>
        <v>1.6</v>
      </c>
      <c r="I18" s="17">
        <f>E18*1.5/100</f>
        <v>0.3</v>
      </c>
      <c r="J18" s="25">
        <f>F18*1.5/100</f>
        <v>0.3</v>
      </c>
      <c r="K18" s="17">
        <f>E18*40.1/100</f>
        <v>8.02</v>
      </c>
      <c r="L18" s="25">
        <f>F18*40.1/100</f>
        <v>8.02</v>
      </c>
      <c r="M18" s="17">
        <f t="shared" si="3"/>
        <v>41.18</v>
      </c>
      <c r="N18" s="27">
        <f t="shared" si="3"/>
        <v>41.18</v>
      </c>
      <c r="O18" s="1"/>
      <c r="P18" s="3"/>
      <c r="Q18" s="5"/>
      <c r="R18" s="5"/>
      <c r="S18" s="5"/>
      <c r="T18" s="5"/>
      <c r="U18" s="1"/>
      <c r="V18" s="3"/>
      <c r="W18" s="5"/>
      <c r="X18" s="5"/>
      <c r="Y18" s="5"/>
      <c r="Z18" s="5"/>
    </row>
    <row r="19" spans="2:26" x14ac:dyDescent="0.3">
      <c r="B19" s="188"/>
      <c r="C19" s="16" t="s">
        <v>57</v>
      </c>
      <c r="D19" s="6" t="s">
        <v>58</v>
      </c>
      <c r="E19" s="45">
        <v>40</v>
      </c>
      <c r="F19" s="46">
        <v>40</v>
      </c>
      <c r="G19" s="17">
        <f>E19*7.6/100</f>
        <v>3.04</v>
      </c>
      <c r="H19" s="25">
        <f>F19*7.6/100</f>
        <v>3.04</v>
      </c>
      <c r="I19" s="17">
        <f>E19*0.8/100</f>
        <v>0.32</v>
      </c>
      <c r="J19" s="25">
        <f>F19*0.8/100</f>
        <v>0.32</v>
      </c>
      <c r="K19" s="17">
        <f>E19*49.2/100</f>
        <v>19.68</v>
      </c>
      <c r="L19" s="25">
        <f>F19*49.2/100</f>
        <v>19.68</v>
      </c>
      <c r="M19" s="17">
        <f t="shared" si="3"/>
        <v>93.759999999999991</v>
      </c>
      <c r="N19" s="27">
        <f t="shared" si="3"/>
        <v>93.759999999999991</v>
      </c>
      <c r="O19" s="1"/>
      <c r="P19" s="3"/>
      <c r="Q19" s="5"/>
      <c r="R19" s="5"/>
      <c r="S19" s="5"/>
      <c r="T19" s="5"/>
      <c r="U19" s="1"/>
      <c r="V19" s="3"/>
      <c r="W19" s="5"/>
      <c r="X19" s="5"/>
      <c r="Y19" s="5"/>
      <c r="Z19" s="5"/>
    </row>
    <row r="20" spans="2:26" ht="15" thickBot="1" x14ac:dyDescent="0.35">
      <c r="B20" s="188"/>
      <c r="C20" s="20"/>
      <c r="D20" s="13" t="s">
        <v>11</v>
      </c>
      <c r="E20" s="69">
        <f t="shared" ref="E20:N20" si="4">SUM(E14:E19)</f>
        <v>700</v>
      </c>
      <c r="F20" s="70">
        <f t="shared" si="4"/>
        <v>790</v>
      </c>
      <c r="G20" s="69">
        <f t="shared" si="4"/>
        <v>23.580000000000002</v>
      </c>
      <c r="H20" s="32">
        <f t="shared" si="4"/>
        <v>26.565000000000005</v>
      </c>
      <c r="I20" s="69">
        <f t="shared" si="4"/>
        <v>34.15</v>
      </c>
      <c r="J20" s="32">
        <f t="shared" si="4"/>
        <v>39.225000000000001</v>
      </c>
      <c r="K20" s="15">
        <f t="shared" si="4"/>
        <v>90.239999999999981</v>
      </c>
      <c r="L20" s="32">
        <f t="shared" si="4"/>
        <v>97.955000000000013</v>
      </c>
      <c r="M20" s="15">
        <f t="shared" si="4"/>
        <v>762.63</v>
      </c>
      <c r="N20" s="34">
        <f t="shared" si="4"/>
        <v>851.10500000000002</v>
      </c>
      <c r="O20" s="1"/>
      <c r="P20" s="3"/>
      <c r="Q20" s="5"/>
      <c r="R20" s="5"/>
      <c r="S20" s="5"/>
      <c r="T20" s="5" t="s">
        <v>17</v>
      </c>
      <c r="U20" s="1"/>
      <c r="V20" s="3"/>
      <c r="W20" s="5"/>
      <c r="X20" s="5"/>
      <c r="Y20" s="5"/>
      <c r="Z20" s="5"/>
    </row>
    <row r="21" spans="2:26" x14ac:dyDescent="0.3">
      <c r="B21" s="220" t="s">
        <v>134</v>
      </c>
      <c r="C21" s="194" t="s">
        <v>164</v>
      </c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1"/>
    </row>
    <row r="22" spans="2:26" x14ac:dyDescent="0.3">
      <c r="B22" s="221"/>
      <c r="C22" s="103" t="s">
        <v>154</v>
      </c>
      <c r="D22" s="9" t="s">
        <v>155</v>
      </c>
      <c r="E22" s="55">
        <v>90</v>
      </c>
      <c r="F22" s="24">
        <v>100</v>
      </c>
      <c r="G22" s="17">
        <f>E22*14.3/100</f>
        <v>12.87</v>
      </c>
      <c r="H22" s="25">
        <f>F22*14.3/100</f>
        <v>14.3</v>
      </c>
      <c r="I22" s="17">
        <f>E22*17.1/100</f>
        <v>15.390000000000002</v>
      </c>
      <c r="J22" s="25">
        <f>F22*17.1/100</f>
        <v>17.100000000000001</v>
      </c>
      <c r="K22" s="17">
        <f>E22*9.5/100</f>
        <v>8.5500000000000007</v>
      </c>
      <c r="L22" s="25">
        <f>F22*9.5/100</f>
        <v>9.5</v>
      </c>
      <c r="M22" s="17">
        <f t="shared" ref="M22:N23" si="5">G22*4+I22*9+K22*4</f>
        <v>224.19</v>
      </c>
      <c r="N22" s="27">
        <f t="shared" ref="N22:N26" si="6">H22*4+J22*9+L22*4</f>
        <v>249.10000000000002</v>
      </c>
    </row>
    <row r="23" spans="2:26" x14ac:dyDescent="0.3">
      <c r="B23" s="221"/>
      <c r="C23" s="16" t="s">
        <v>153</v>
      </c>
      <c r="D23" s="6" t="s">
        <v>156</v>
      </c>
      <c r="E23" s="55">
        <v>150</v>
      </c>
      <c r="F23" s="24">
        <v>180</v>
      </c>
      <c r="G23" s="17">
        <f>E23*3/100</f>
        <v>4.5</v>
      </c>
      <c r="H23" s="25">
        <f>F23*3/100</f>
        <v>5.4</v>
      </c>
      <c r="I23" s="17">
        <f>E23*2.32/100</f>
        <v>3.48</v>
      </c>
      <c r="J23" s="25">
        <f>F23*2.32/100</f>
        <v>4.1759999999999993</v>
      </c>
      <c r="K23" s="17">
        <f>E23*13.03/100</f>
        <v>19.545000000000002</v>
      </c>
      <c r="L23" s="25">
        <f>F23*13.03/100</f>
        <v>23.454000000000001</v>
      </c>
      <c r="M23" s="17">
        <f t="shared" si="5"/>
        <v>127.5</v>
      </c>
      <c r="N23" s="27">
        <f t="shared" si="5"/>
        <v>153</v>
      </c>
    </row>
    <row r="24" spans="2:26" x14ac:dyDescent="0.3">
      <c r="B24" s="221"/>
      <c r="C24" s="103" t="s">
        <v>75</v>
      </c>
      <c r="D24" s="9" t="s">
        <v>76</v>
      </c>
      <c r="E24" s="55">
        <v>200</v>
      </c>
      <c r="F24" s="24">
        <v>200</v>
      </c>
      <c r="G24" s="17">
        <f>E24*0.67/200</f>
        <v>0.67</v>
      </c>
      <c r="H24" s="25">
        <f>F24*0.67/200</f>
        <v>0.67</v>
      </c>
      <c r="I24" s="17">
        <f>E24*0.27/200</f>
        <v>0.27</v>
      </c>
      <c r="J24" s="25">
        <f>F24*0.27/200</f>
        <v>0.27</v>
      </c>
      <c r="K24" s="17">
        <f>E24*18.3/200</f>
        <v>18.3</v>
      </c>
      <c r="L24" s="25">
        <f>F24*18.3/200</f>
        <v>18.3</v>
      </c>
      <c r="M24" s="17">
        <f t="shared" ref="M24:M26" si="7">G24*4+I24*9+K24*4</f>
        <v>78.31</v>
      </c>
      <c r="N24" s="27">
        <f t="shared" si="6"/>
        <v>78.31</v>
      </c>
    </row>
    <row r="25" spans="2:26" x14ac:dyDescent="0.3">
      <c r="B25" s="221"/>
      <c r="C25" s="16" t="s">
        <v>56</v>
      </c>
      <c r="D25" s="6" t="s">
        <v>16</v>
      </c>
      <c r="E25" s="45">
        <v>20</v>
      </c>
      <c r="F25" s="46">
        <v>20</v>
      </c>
      <c r="G25" s="17">
        <f>E25*8/100</f>
        <v>1.6</v>
      </c>
      <c r="H25" s="25">
        <f>F25*8/100</f>
        <v>1.6</v>
      </c>
      <c r="I25" s="17">
        <f>E25*1.5/100</f>
        <v>0.3</v>
      </c>
      <c r="J25" s="25">
        <f>F25*1.5/100</f>
        <v>0.3</v>
      </c>
      <c r="K25" s="17">
        <f>E25*40.1/100</f>
        <v>8.02</v>
      </c>
      <c r="L25" s="25">
        <f>F25*40.1/100</f>
        <v>8.02</v>
      </c>
      <c r="M25" s="17">
        <f t="shared" si="7"/>
        <v>41.18</v>
      </c>
      <c r="N25" s="27">
        <f t="shared" si="6"/>
        <v>41.18</v>
      </c>
    </row>
    <row r="26" spans="2:26" x14ac:dyDescent="0.3">
      <c r="B26" s="221"/>
      <c r="C26" s="16" t="s">
        <v>57</v>
      </c>
      <c r="D26" s="6" t="s">
        <v>58</v>
      </c>
      <c r="E26" s="45">
        <v>40</v>
      </c>
      <c r="F26" s="46">
        <v>50</v>
      </c>
      <c r="G26" s="17">
        <f>E26*7.6/100</f>
        <v>3.04</v>
      </c>
      <c r="H26" s="25">
        <f>F26*7.6/100</f>
        <v>3.8</v>
      </c>
      <c r="I26" s="17">
        <f>E26*0.8/100</f>
        <v>0.32</v>
      </c>
      <c r="J26" s="25">
        <f>F26*0.8/100</f>
        <v>0.4</v>
      </c>
      <c r="K26" s="17">
        <f>E26*49.2/100</f>
        <v>19.68</v>
      </c>
      <c r="L26" s="25">
        <f>F26*49.2/100</f>
        <v>24.6</v>
      </c>
      <c r="M26" s="17">
        <f t="shared" si="7"/>
        <v>93.759999999999991</v>
      </c>
      <c r="N26" s="27">
        <f t="shared" si="6"/>
        <v>117.2</v>
      </c>
    </row>
    <row r="27" spans="2:26" x14ac:dyDescent="0.3">
      <c r="B27" s="221"/>
      <c r="C27" s="100"/>
      <c r="D27" s="4" t="s">
        <v>165</v>
      </c>
      <c r="E27" s="19">
        <f t="shared" ref="E27:N27" si="8">SUM(E22:E26)</f>
        <v>500</v>
      </c>
      <c r="F27" s="104">
        <f t="shared" si="8"/>
        <v>550</v>
      </c>
      <c r="G27" s="7">
        <f t="shared" si="8"/>
        <v>22.68</v>
      </c>
      <c r="H27" s="26">
        <f t="shared" si="8"/>
        <v>25.770000000000007</v>
      </c>
      <c r="I27" s="7">
        <f t="shared" si="8"/>
        <v>19.760000000000002</v>
      </c>
      <c r="J27" s="26">
        <f t="shared" si="8"/>
        <v>22.245999999999999</v>
      </c>
      <c r="K27" s="7">
        <f t="shared" si="8"/>
        <v>74.094999999999999</v>
      </c>
      <c r="L27" s="26">
        <f t="shared" si="8"/>
        <v>83.873999999999995</v>
      </c>
      <c r="M27" s="7">
        <f t="shared" si="8"/>
        <v>564.94000000000005</v>
      </c>
      <c r="N27" s="28">
        <f t="shared" si="8"/>
        <v>638.79000000000008</v>
      </c>
    </row>
    <row r="28" spans="2:26" x14ac:dyDescent="0.3">
      <c r="B28" s="221"/>
      <c r="C28" s="195" t="s">
        <v>8</v>
      </c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3"/>
    </row>
    <row r="29" spans="2:26" x14ac:dyDescent="0.3">
      <c r="B29" s="221"/>
      <c r="C29" s="103" t="s">
        <v>13</v>
      </c>
      <c r="D29" s="84" t="s">
        <v>59</v>
      </c>
      <c r="E29" s="102">
        <v>200</v>
      </c>
      <c r="F29" s="35">
        <v>250</v>
      </c>
      <c r="G29" s="18">
        <f>E29*2.12/100</f>
        <v>4.24</v>
      </c>
      <c r="H29" s="36">
        <f>F29*2.12/100</f>
        <v>5.3</v>
      </c>
      <c r="I29" s="18">
        <f>E29*2.78/100</f>
        <v>5.56</v>
      </c>
      <c r="J29" s="36">
        <f>F29*2.78/100</f>
        <v>6.95</v>
      </c>
      <c r="K29" s="18">
        <f>E29*7.5/100</f>
        <v>15</v>
      </c>
      <c r="L29" s="36">
        <f>F29*7.5/100</f>
        <v>18.75</v>
      </c>
      <c r="M29" s="18">
        <f t="shared" ref="M29:N34" si="9">G29*4+I29*9+K29*4</f>
        <v>127</v>
      </c>
      <c r="N29" s="33">
        <f t="shared" si="9"/>
        <v>158.75</v>
      </c>
    </row>
    <row r="30" spans="2:26" x14ac:dyDescent="0.3">
      <c r="B30" s="221"/>
      <c r="C30" s="103" t="s">
        <v>154</v>
      </c>
      <c r="D30" s="9" t="s">
        <v>155</v>
      </c>
      <c r="E30" s="55">
        <v>90</v>
      </c>
      <c r="F30" s="24">
        <v>100</v>
      </c>
      <c r="G30" s="17">
        <f>E30*14.3/100</f>
        <v>12.87</v>
      </c>
      <c r="H30" s="25">
        <f>F30*14.3/100</f>
        <v>14.3</v>
      </c>
      <c r="I30" s="17">
        <f>E30*17.1/100</f>
        <v>15.390000000000002</v>
      </c>
      <c r="J30" s="25">
        <f>F30*17.1/100</f>
        <v>17.100000000000001</v>
      </c>
      <c r="K30" s="17">
        <f>E30*9.5/100</f>
        <v>8.5500000000000007</v>
      </c>
      <c r="L30" s="25">
        <f>F30*9.5/100</f>
        <v>9.5</v>
      </c>
      <c r="M30" s="17">
        <f t="shared" si="9"/>
        <v>224.19</v>
      </c>
      <c r="N30" s="27">
        <f t="shared" si="9"/>
        <v>249.10000000000002</v>
      </c>
    </row>
    <row r="31" spans="2:26" x14ac:dyDescent="0.3">
      <c r="B31" s="221"/>
      <c r="C31" s="16" t="s">
        <v>153</v>
      </c>
      <c r="D31" s="6" t="s">
        <v>156</v>
      </c>
      <c r="E31" s="55">
        <v>150</v>
      </c>
      <c r="F31" s="24">
        <v>180</v>
      </c>
      <c r="G31" s="17">
        <f>E31*3/100</f>
        <v>4.5</v>
      </c>
      <c r="H31" s="25">
        <f>F31*3/100</f>
        <v>5.4</v>
      </c>
      <c r="I31" s="17">
        <f>E31*2.32/100</f>
        <v>3.48</v>
      </c>
      <c r="J31" s="25">
        <f>F31*2.32/100</f>
        <v>4.1759999999999993</v>
      </c>
      <c r="K31" s="17">
        <f>E31*13.03/100</f>
        <v>19.545000000000002</v>
      </c>
      <c r="L31" s="25">
        <f>F31*13.03/100</f>
        <v>23.454000000000001</v>
      </c>
      <c r="M31" s="17">
        <f t="shared" si="9"/>
        <v>127.5</v>
      </c>
      <c r="N31" s="27">
        <f t="shared" si="9"/>
        <v>153</v>
      </c>
    </row>
    <row r="32" spans="2:26" x14ac:dyDescent="0.3">
      <c r="B32" s="221"/>
      <c r="C32" s="103" t="s">
        <v>75</v>
      </c>
      <c r="D32" s="9" t="s">
        <v>76</v>
      </c>
      <c r="E32" s="55">
        <v>200</v>
      </c>
      <c r="F32" s="24">
        <v>200</v>
      </c>
      <c r="G32" s="17">
        <f>E32*0.67/200</f>
        <v>0.67</v>
      </c>
      <c r="H32" s="25">
        <f>F32*0.67/200</f>
        <v>0.67</v>
      </c>
      <c r="I32" s="17">
        <f>E32*0.27/200</f>
        <v>0.27</v>
      </c>
      <c r="J32" s="25">
        <f>F32*0.27/200</f>
        <v>0.27</v>
      </c>
      <c r="K32" s="17">
        <f>E32*18.3/200</f>
        <v>18.3</v>
      </c>
      <c r="L32" s="25">
        <f>F32*18.3/200</f>
        <v>18.3</v>
      </c>
      <c r="M32" s="17">
        <f t="shared" si="9"/>
        <v>78.31</v>
      </c>
      <c r="N32" s="27">
        <f t="shared" si="9"/>
        <v>78.31</v>
      </c>
    </row>
    <row r="33" spans="2:17" x14ac:dyDescent="0.3">
      <c r="B33" s="221"/>
      <c r="C33" s="16" t="s">
        <v>56</v>
      </c>
      <c r="D33" s="6" t="s">
        <v>16</v>
      </c>
      <c r="E33" s="45">
        <v>20</v>
      </c>
      <c r="F33" s="46">
        <v>20</v>
      </c>
      <c r="G33" s="17">
        <f>E33*8/100</f>
        <v>1.6</v>
      </c>
      <c r="H33" s="25">
        <f>F33*8/100</f>
        <v>1.6</v>
      </c>
      <c r="I33" s="17">
        <f>E33*1.5/100</f>
        <v>0.3</v>
      </c>
      <c r="J33" s="25">
        <f>F33*1.5/100</f>
        <v>0.3</v>
      </c>
      <c r="K33" s="17">
        <f>E33*40.1/100</f>
        <v>8.02</v>
      </c>
      <c r="L33" s="25">
        <f>F33*40.1/100</f>
        <v>8.02</v>
      </c>
      <c r="M33" s="17">
        <f t="shared" si="9"/>
        <v>41.18</v>
      </c>
      <c r="N33" s="27">
        <f t="shared" si="9"/>
        <v>41.18</v>
      </c>
    </row>
    <row r="34" spans="2:17" x14ac:dyDescent="0.3">
      <c r="B34" s="221"/>
      <c r="C34" s="16" t="s">
        <v>57</v>
      </c>
      <c r="D34" s="6" t="s">
        <v>58</v>
      </c>
      <c r="E34" s="45">
        <v>50</v>
      </c>
      <c r="F34" s="46">
        <v>50</v>
      </c>
      <c r="G34" s="17">
        <f>E34*7.6/100</f>
        <v>3.8</v>
      </c>
      <c r="H34" s="25">
        <f>F34*7.6/100</f>
        <v>3.8</v>
      </c>
      <c r="I34" s="17">
        <f>E34*0.8/100</f>
        <v>0.4</v>
      </c>
      <c r="J34" s="25">
        <f>F34*0.8/100</f>
        <v>0.4</v>
      </c>
      <c r="K34" s="17">
        <f>E34*49.2/100</f>
        <v>24.6</v>
      </c>
      <c r="L34" s="25">
        <f>F34*49.2/100</f>
        <v>24.6</v>
      </c>
      <c r="M34" s="17">
        <f t="shared" si="9"/>
        <v>117.2</v>
      </c>
      <c r="N34" s="27">
        <f t="shared" si="9"/>
        <v>117.2</v>
      </c>
      <c r="Q34" s="12" t="s">
        <v>17</v>
      </c>
    </row>
    <row r="35" spans="2:17" x14ac:dyDescent="0.3">
      <c r="B35" s="221"/>
      <c r="C35" s="47"/>
      <c r="D35" s="4" t="s">
        <v>11</v>
      </c>
      <c r="E35" s="19">
        <f t="shared" ref="E35:N35" si="10">SUM(E29:E34)</f>
        <v>710</v>
      </c>
      <c r="F35" s="104">
        <f t="shared" si="10"/>
        <v>800</v>
      </c>
      <c r="G35" s="19">
        <f t="shared" si="10"/>
        <v>27.680000000000003</v>
      </c>
      <c r="H35" s="26">
        <f t="shared" si="10"/>
        <v>31.070000000000004</v>
      </c>
      <c r="I35" s="19">
        <f t="shared" si="10"/>
        <v>25.400000000000002</v>
      </c>
      <c r="J35" s="104">
        <f t="shared" si="10"/>
        <v>29.195999999999998</v>
      </c>
      <c r="K35" s="7">
        <f t="shared" si="10"/>
        <v>94.014999999999986</v>
      </c>
      <c r="L35" s="104">
        <f t="shared" si="10"/>
        <v>102.624</v>
      </c>
      <c r="M35" s="7">
        <f t="shared" si="10"/>
        <v>715.38</v>
      </c>
      <c r="N35" s="86">
        <f t="shared" si="10"/>
        <v>797.54000000000008</v>
      </c>
    </row>
    <row r="36" spans="2:17" x14ac:dyDescent="0.3">
      <c r="B36" s="221"/>
      <c r="C36" s="223" t="s">
        <v>108</v>
      </c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5"/>
    </row>
    <row r="37" spans="2:17" ht="15" thickBot="1" x14ac:dyDescent="0.35">
      <c r="B37" s="222"/>
      <c r="C37" s="79" t="s">
        <v>104</v>
      </c>
      <c r="D37" s="80" t="s">
        <v>105</v>
      </c>
      <c r="E37" s="14">
        <v>230</v>
      </c>
      <c r="F37" s="31">
        <v>250</v>
      </c>
      <c r="G37" s="66">
        <f>E37*7.31/100</f>
        <v>16.812999999999999</v>
      </c>
      <c r="H37" s="67">
        <f>F37*7.31/100</f>
        <v>18.274999999999999</v>
      </c>
      <c r="I37" s="14">
        <f>E37*9.9/100</f>
        <v>22.77</v>
      </c>
      <c r="J37" s="67">
        <f>F37*9.9/100</f>
        <v>24.75</v>
      </c>
      <c r="K37" s="66">
        <f>E37*6.27/100</f>
        <v>14.420999999999999</v>
      </c>
      <c r="L37" s="67">
        <f>F37*6.27/100</f>
        <v>15.675000000000001</v>
      </c>
      <c r="M37" s="66">
        <f t="shared" ref="M37:N37" si="11">G37*4+I37*9+K37*4</f>
        <v>329.86599999999999</v>
      </c>
      <c r="N37" s="68">
        <f t="shared" si="11"/>
        <v>358.55</v>
      </c>
    </row>
    <row r="38" spans="2:17" ht="15" customHeight="1" x14ac:dyDescent="0.3">
      <c r="B38" s="187" t="s">
        <v>135</v>
      </c>
      <c r="C38" s="194" t="s">
        <v>164</v>
      </c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1"/>
    </row>
    <row r="39" spans="2:17" x14ac:dyDescent="0.3">
      <c r="B39" s="188"/>
      <c r="C39" s="113" t="s">
        <v>104</v>
      </c>
      <c r="D39" s="8" t="s">
        <v>105</v>
      </c>
      <c r="E39" s="55">
        <v>230</v>
      </c>
      <c r="F39" s="24">
        <v>250</v>
      </c>
      <c r="G39" s="17">
        <f>E39*7.31/100</f>
        <v>16.812999999999999</v>
      </c>
      <c r="H39" s="25">
        <f>F39*7.31/100</f>
        <v>18.274999999999999</v>
      </c>
      <c r="I39" s="55">
        <f>E39*9.9/100</f>
        <v>22.77</v>
      </c>
      <c r="J39" s="25">
        <f>F39*9.9/100</f>
        <v>24.75</v>
      </c>
      <c r="K39" s="17">
        <f>E39*6.27/100</f>
        <v>14.420999999999999</v>
      </c>
      <c r="L39" s="25">
        <f>F39*6.27/100</f>
        <v>15.675000000000001</v>
      </c>
      <c r="M39" s="17">
        <f>G39*4+I39*9+K39*4</f>
        <v>329.86599999999999</v>
      </c>
      <c r="N39" s="27">
        <f>H39*4+J39*9+L39*4</f>
        <v>358.55</v>
      </c>
    </row>
    <row r="40" spans="2:17" x14ac:dyDescent="0.3">
      <c r="B40" s="188"/>
      <c r="C40" s="103" t="s">
        <v>41</v>
      </c>
      <c r="D40" s="9" t="s">
        <v>42</v>
      </c>
      <c r="E40" s="55">
        <v>200</v>
      </c>
      <c r="F40" s="24">
        <v>200</v>
      </c>
      <c r="G40" s="17">
        <f>E40*0.6/200</f>
        <v>0.6</v>
      </c>
      <c r="H40" s="25">
        <f>F40*0.6/200</f>
        <v>0.6</v>
      </c>
      <c r="I40" s="17">
        <f t="shared" ref="I40" si="12">E40*0.1/200</f>
        <v>0.1</v>
      </c>
      <c r="J40" s="25">
        <f t="shared" ref="J40" si="13">F40*0.1/200</f>
        <v>0.1</v>
      </c>
      <c r="K40" s="17">
        <f>E40*20.1/200</f>
        <v>20.100000000000001</v>
      </c>
      <c r="L40" s="25">
        <f>F40*20.1/200</f>
        <v>20.100000000000001</v>
      </c>
      <c r="M40" s="17">
        <f t="shared" ref="M40:M42" si="14">G40*4+I40*9+K40*4</f>
        <v>83.7</v>
      </c>
      <c r="N40" s="27">
        <f t="shared" ref="N40:N42" si="15">H40*4+J40*9+L40*4</f>
        <v>83.7</v>
      </c>
    </row>
    <row r="41" spans="2:17" x14ac:dyDescent="0.3">
      <c r="B41" s="188"/>
      <c r="C41" s="16" t="s">
        <v>56</v>
      </c>
      <c r="D41" s="6" t="s">
        <v>16</v>
      </c>
      <c r="E41" s="45">
        <v>20</v>
      </c>
      <c r="F41" s="46">
        <v>20</v>
      </c>
      <c r="G41" s="17">
        <f>E41*8/100</f>
        <v>1.6</v>
      </c>
      <c r="H41" s="25">
        <f>F41*8/100</f>
        <v>1.6</v>
      </c>
      <c r="I41" s="17">
        <f>E41*1.5/100</f>
        <v>0.3</v>
      </c>
      <c r="J41" s="25">
        <f>F41*1.5/100</f>
        <v>0.3</v>
      </c>
      <c r="K41" s="17">
        <f>E41*40.1/100</f>
        <v>8.02</v>
      </c>
      <c r="L41" s="25">
        <f>F41*40.1/100</f>
        <v>8.02</v>
      </c>
      <c r="M41" s="17">
        <f t="shared" si="14"/>
        <v>41.18</v>
      </c>
      <c r="N41" s="27">
        <f t="shared" si="15"/>
        <v>41.18</v>
      </c>
    </row>
    <row r="42" spans="2:17" x14ac:dyDescent="0.3">
      <c r="B42" s="188"/>
      <c r="C42" s="16" t="s">
        <v>57</v>
      </c>
      <c r="D42" s="6" t="s">
        <v>58</v>
      </c>
      <c r="E42" s="45">
        <v>50</v>
      </c>
      <c r="F42" s="46">
        <v>50</v>
      </c>
      <c r="G42" s="17">
        <f>E42*7.6/100</f>
        <v>3.8</v>
      </c>
      <c r="H42" s="25">
        <f>F42*7.6/100</f>
        <v>3.8</v>
      </c>
      <c r="I42" s="17">
        <f>E42*0.8/100</f>
        <v>0.4</v>
      </c>
      <c r="J42" s="25">
        <f>F42*0.8/100</f>
        <v>0.4</v>
      </c>
      <c r="K42" s="17">
        <f>E42*49.2/100</f>
        <v>24.6</v>
      </c>
      <c r="L42" s="25">
        <f>F42*49.2/100</f>
        <v>24.6</v>
      </c>
      <c r="M42" s="17">
        <f t="shared" si="14"/>
        <v>117.2</v>
      </c>
      <c r="N42" s="27">
        <f t="shared" si="15"/>
        <v>117.2</v>
      </c>
    </row>
    <row r="43" spans="2:17" x14ac:dyDescent="0.3">
      <c r="B43" s="188"/>
      <c r="C43" s="100"/>
      <c r="D43" s="4" t="s">
        <v>165</v>
      </c>
      <c r="E43" s="19">
        <f t="shared" ref="E43:N43" si="16">SUM(E39:E42)</f>
        <v>500</v>
      </c>
      <c r="F43" s="104">
        <f t="shared" si="16"/>
        <v>520</v>
      </c>
      <c r="G43" s="7">
        <f t="shared" si="16"/>
        <v>22.813000000000002</v>
      </c>
      <c r="H43" s="26">
        <f t="shared" si="16"/>
        <v>24.275000000000002</v>
      </c>
      <c r="I43" s="7">
        <f t="shared" si="16"/>
        <v>23.57</v>
      </c>
      <c r="J43" s="26">
        <f t="shared" si="16"/>
        <v>25.55</v>
      </c>
      <c r="K43" s="7">
        <f t="shared" si="16"/>
        <v>67.140999999999991</v>
      </c>
      <c r="L43" s="26">
        <f t="shared" si="16"/>
        <v>68.39500000000001</v>
      </c>
      <c r="M43" s="7">
        <f t="shared" si="16"/>
        <v>571.94600000000003</v>
      </c>
      <c r="N43" s="28">
        <f t="shared" si="16"/>
        <v>600.63</v>
      </c>
    </row>
    <row r="44" spans="2:17" x14ac:dyDescent="0.3">
      <c r="B44" s="188"/>
      <c r="C44" s="195" t="s">
        <v>8</v>
      </c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3"/>
    </row>
    <row r="45" spans="2:17" x14ac:dyDescent="0.3">
      <c r="B45" s="188"/>
      <c r="C45" s="43" t="s">
        <v>50</v>
      </c>
      <c r="D45" s="83" t="s">
        <v>51</v>
      </c>
      <c r="E45" s="55">
        <v>250</v>
      </c>
      <c r="F45" s="29">
        <v>250</v>
      </c>
      <c r="G45" s="17">
        <f>E45*1.95/100</f>
        <v>4.875</v>
      </c>
      <c r="H45" s="25">
        <f>F45*1.95/100</f>
        <v>4.875</v>
      </c>
      <c r="I45" s="17">
        <f>E45*2.96/100</f>
        <v>7.4</v>
      </c>
      <c r="J45" s="25">
        <f>F45*2.96/100</f>
        <v>7.4</v>
      </c>
      <c r="K45" s="17">
        <f>E45*6.21/100</f>
        <v>15.525</v>
      </c>
      <c r="L45" s="25">
        <f>F45*6.21/100</f>
        <v>15.525</v>
      </c>
      <c r="M45" s="18">
        <f t="shared" ref="M45:N49" si="17">G45*4+I45*9+K45*4</f>
        <v>148.20000000000002</v>
      </c>
      <c r="N45" s="33">
        <f t="shared" si="17"/>
        <v>148.20000000000002</v>
      </c>
    </row>
    <row r="46" spans="2:17" x14ac:dyDescent="0.3">
      <c r="B46" s="188"/>
      <c r="C46" s="113" t="s">
        <v>104</v>
      </c>
      <c r="D46" s="8" t="s">
        <v>105</v>
      </c>
      <c r="E46" s="55">
        <v>230</v>
      </c>
      <c r="F46" s="24">
        <v>250</v>
      </c>
      <c r="G46" s="17">
        <f>E46*7.31/100</f>
        <v>16.812999999999999</v>
      </c>
      <c r="H46" s="25">
        <f>F46*7.31/100</f>
        <v>18.274999999999999</v>
      </c>
      <c r="I46" s="55">
        <f>E46*9.9/100</f>
        <v>22.77</v>
      </c>
      <c r="J46" s="25">
        <f>F46*9.9/100</f>
        <v>24.75</v>
      </c>
      <c r="K46" s="17">
        <f>E46*6.27/100</f>
        <v>14.420999999999999</v>
      </c>
      <c r="L46" s="25">
        <f>F46*6.27/100</f>
        <v>15.675000000000001</v>
      </c>
      <c r="M46" s="17">
        <f>G46*4+I46*9+K46*4</f>
        <v>329.86599999999999</v>
      </c>
      <c r="N46" s="27">
        <f>H46*4+J46*9+L46*4</f>
        <v>358.55</v>
      </c>
    </row>
    <row r="47" spans="2:17" x14ac:dyDescent="0.3">
      <c r="B47" s="188"/>
      <c r="C47" s="103" t="s">
        <v>41</v>
      </c>
      <c r="D47" s="9" t="s">
        <v>42</v>
      </c>
      <c r="E47" s="55">
        <v>200</v>
      </c>
      <c r="F47" s="24">
        <v>200</v>
      </c>
      <c r="G47" s="17">
        <f>E47*0.6/200</f>
        <v>0.6</v>
      </c>
      <c r="H47" s="25">
        <f>F47*0.6/200</f>
        <v>0.6</v>
      </c>
      <c r="I47" s="17">
        <f t="shared" ref="I47:J47" si="18">E47*0.1/200</f>
        <v>0.1</v>
      </c>
      <c r="J47" s="25">
        <f t="shared" si="18"/>
        <v>0.1</v>
      </c>
      <c r="K47" s="17">
        <f>E47*20.1/200</f>
        <v>20.100000000000001</v>
      </c>
      <c r="L47" s="25">
        <f>F47*20.1/200</f>
        <v>20.100000000000001</v>
      </c>
      <c r="M47" s="17">
        <f t="shared" si="17"/>
        <v>83.7</v>
      </c>
      <c r="N47" s="27">
        <f t="shared" si="17"/>
        <v>83.7</v>
      </c>
    </row>
    <row r="48" spans="2:17" x14ac:dyDescent="0.3">
      <c r="B48" s="188"/>
      <c r="C48" s="16" t="s">
        <v>56</v>
      </c>
      <c r="D48" s="6" t="s">
        <v>16</v>
      </c>
      <c r="E48" s="45">
        <v>20</v>
      </c>
      <c r="F48" s="46">
        <v>20</v>
      </c>
      <c r="G48" s="17">
        <f>E48*8/100</f>
        <v>1.6</v>
      </c>
      <c r="H48" s="25">
        <f>F48*8/100</f>
        <v>1.6</v>
      </c>
      <c r="I48" s="17">
        <f>E48*1.5/100</f>
        <v>0.3</v>
      </c>
      <c r="J48" s="25">
        <f>F48*1.5/100</f>
        <v>0.3</v>
      </c>
      <c r="K48" s="17">
        <f>E48*40.1/100</f>
        <v>8.02</v>
      </c>
      <c r="L48" s="25">
        <f>F48*40.1/100</f>
        <v>8.02</v>
      </c>
      <c r="M48" s="17">
        <f t="shared" si="17"/>
        <v>41.18</v>
      </c>
      <c r="N48" s="27">
        <f t="shared" si="17"/>
        <v>41.18</v>
      </c>
    </row>
    <row r="49" spans="2:18" x14ac:dyDescent="0.3">
      <c r="B49" s="188"/>
      <c r="C49" s="16" t="s">
        <v>57</v>
      </c>
      <c r="D49" s="6" t="s">
        <v>58</v>
      </c>
      <c r="E49" s="45">
        <v>50</v>
      </c>
      <c r="F49" s="46">
        <v>50</v>
      </c>
      <c r="G49" s="17">
        <f>E49*7.6/100</f>
        <v>3.8</v>
      </c>
      <c r="H49" s="25">
        <f>F49*7.6/100</f>
        <v>3.8</v>
      </c>
      <c r="I49" s="17">
        <f>E49*0.8/100</f>
        <v>0.4</v>
      </c>
      <c r="J49" s="25">
        <f>F49*0.8/100</f>
        <v>0.4</v>
      </c>
      <c r="K49" s="17">
        <f>E49*49.2/100</f>
        <v>24.6</v>
      </c>
      <c r="L49" s="25">
        <f>F49*49.2/100</f>
        <v>24.6</v>
      </c>
      <c r="M49" s="17">
        <f t="shared" si="17"/>
        <v>117.2</v>
      </c>
      <c r="N49" s="27">
        <f t="shared" si="17"/>
        <v>117.2</v>
      </c>
    </row>
    <row r="50" spans="2:18" ht="15" thickBot="1" x14ac:dyDescent="0.35">
      <c r="B50" s="189"/>
      <c r="C50" s="20"/>
      <c r="D50" s="13" t="s">
        <v>11</v>
      </c>
      <c r="E50" s="69">
        <f t="shared" ref="E50:N50" si="19">SUM(E45:E49)</f>
        <v>750</v>
      </c>
      <c r="F50" s="109">
        <f t="shared" si="19"/>
        <v>770</v>
      </c>
      <c r="G50" s="15">
        <f t="shared" si="19"/>
        <v>27.688000000000002</v>
      </c>
      <c r="H50" s="32">
        <f t="shared" si="19"/>
        <v>29.150000000000002</v>
      </c>
      <c r="I50" s="69">
        <f t="shared" si="19"/>
        <v>30.970000000000002</v>
      </c>
      <c r="J50" s="32">
        <f t="shared" si="19"/>
        <v>32.949999999999996</v>
      </c>
      <c r="K50" s="15">
        <f t="shared" si="19"/>
        <v>82.665999999999997</v>
      </c>
      <c r="L50" s="32">
        <f t="shared" si="19"/>
        <v>83.920000000000016</v>
      </c>
      <c r="M50" s="69">
        <f t="shared" si="19"/>
        <v>720.14600000000007</v>
      </c>
      <c r="N50" s="34">
        <f t="shared" si="19"/>
        <v>748.83</v>
      </c>
    </row>
    <row r="51" spans="2:18" ht="15" thickBot="1" x14ac:dyDescent="0.35">
      <c r="B51" s="40"/>
      <c r="C51" s="245" t="s">
        <v>43</v>
      </c>
      <c r="D51" s="245"/>
      <c r="E51" s="245"/>
      <c r="F51" s="245"/>
      <c r="G51" s="245"/>
      <c r="H51" s="245"/>
      <c r="I51" s="245"/>
      <c r="J51" s="245"/>
      <c r="K51" s="245"/>
      <c r="L51" s="245"/>
      <c r="M51" s="245"/>
      <c r="N51" s="245"/>
    </row>
    <row r="52" spans="2:18" x14ac:dyDescent="0.3">
      <c r="B52" s="237" t="s">
        <v>20</v>
      </c>
      <c r="C52" s="238"/>
      <c r="D52" s="239" t="s">
        <v>21</v>
      </c>
      <c r="E52" s="240"/>
      <c r="F52" s="240"/>
      <c r="G52" s="240"/>
      <c r="H52" s="240"/>
      <c r="I52" s="240"/>
      <c r="J52" s="240"/>
      <c r="K52" s="240"/>
      <c r="L52" s="240"/>
      <c r="M52" s="240"/>
      <c r="N52" s="241"/>
    </row>
    <row r="53" spans="2:18" x14ac:dyDescent="0.3">
      <c r="B53" s="177"/>
      <c r="C53" s="130"/>
      <c r="D53" s="229" t="s">
        <v>32</v>
      </c>
      <c r="E53" s="230"/>
      <c r="F53" s="230"/>
      <c r="G53" s="230"/>
      <c r="H53" s="230"/>
      <c r="I53" s="230"/>
      <c r="J53" s="230"/>
      <c r="K53" s="230"/>
      <c r="L53" s="230"/>
      <c r="M53" s="230"/>
      <c r="N53" s="231"/>
    </row>
    <row r="54" spans="2:18" x14ac:dyDescent="0.3">
      <c r="B54" s="177" t="s">
        <v>22</v>
      </c>
      <c r="C54" s="130"/>
      <c r="D54" s="226" t="s">
        <v>23</v>
      </c>
      <c r="E54" s="227"/>
      <c r="F54" s="227"/>
      <c r="G54" s="227"/>
      <c r="H54" s="227"/>
      <c r="I54" s="227"/>
      <c r="J54" s="227"/>
      <c r="K54" s="227"/>
      <c r="L54" s="227"/>
      <c r="M54" s="227"/>
      <c r="N54" s="228"/>
      <c r="R54" s="12" t="s">
        <v>17</v>
      </c>
    </row>
    <row r="55" spans="2:18" x14ac:dyDescent="0.3">
      <c r="B55" s="177"/>
      <c r="C55" s="130"/>
      <c r="D55" s="242" t="s">
        <v>24</v>
      </c>
      <c r="E55" s="243"/>
      <c r="F55" s="243"/>
      <c r="G55" s="243"/>
      <c r="H55" s="243"/>
      <c r="I55" s="243"/>
      <c r="J55" s="243"/>
      <c r="K55" s="243"/>
      <c r="L55" s="243"/>
      <c r="M55" s="243"/>
      <c r="N55" s="244"/>
    </row>
    <row r="56" spans="2:18" x14ac:dyDescent="0.3">
      <c r="B56" s="177" t="s">
        <v>25</v>
      </c>
      <c r="C56" s="130"/>
      <c r="D56" s="226" t="s">
        <v>23</v>
      </c>
      <c r="E56" s="227"/>
      <c r="F56" s="227"/>
      <c r="G56" s="227"/>
      <c r="H56" s="227"/>
      <c r="I56" s="227"/>
      <c r="J56" s="227"/>
      <c r="K56" s="227"/>
      <c r="L56" s="227"/>
      <c r="M56" s="227"/>
      <c r="N56" s="228"/>
    </row>
    <row r="57" spans="2:18" x14ac:dyDescent="0.3">
      <c r="B57" s="177"/>
      <c r="C57" s="130"/>
      <c r="D57" s="229" t="s">
        <v>26</v>
      </c>
      <c r="E57" s="230"/>
      <c r="F57" s="230"/>
      <c r="G57" s="230"/>
      <c r="H57" s="230"/>
      <c r="I57" s="230"/>
      <c r="J57" s="230"/>
      <c r="K57" s="230"/>
      <c r="L57" s="230"/>
      <c r="M57" s="230"/>
      <c r="N57" s="231"/>
    </row>
    <row r="58" spans="2:18" x14ac:dyDescent="0.3">
      <c r="B58" s="177" t="s">
        <v>29</v>
      </c>
      <c r="C58" s="130"/>
      <c r="D58" s="105" t="s">
        <v>30</v>
      </c>
      <c r="E58" s="10"/>
      <c r="F58" s="11"/>
      <c r="G58" s="11"/>
      <c r="H58" s="11"/>
      <c r="I58" s="11"/>
      <c r="J58" s="11"/>
      <c r="K58" s="11"/>
      <c r="L58" s="11"/>
      <c r="M58" s="11"/>
      <c r="N58" s="39"/>
    </row>
    <row r="59" spans="2:18" ht="15" thickBot="1" x14ac:dyDescent="0.35">
      <c r="B59" s="232"/>
      <c r="C59" s="233"/>
      <c r="D59" s="234" t="s">
        <v>31</v>
      </c>
      <c r="E59" s="235"/>
      <c r="F59" s="235"/>
      <c r="G59" s="235"/>
      <c r="H59" s="235"/>
      <c r="I59" s="235"/>
      <c r="J59" s="235"/>
      <c r="K59" s="235"/>
      <c r="L59" s="235"/>
      <c r="M59" s="235"/>
      <c r="N59" s="236"/>
    </row>
    <row r="60" spans="2:18" x14ac:dyDescent="0.3">
      <c r="F60" s="12" t="s">
        <v>17</v>
      </c>
    </row>
  </sheetData>
  <mergeCells count="31">
    <mergeCell ref="M3:N4"/>
    <mergeCell ref="G4:H4"/>
    <mergeCell ref="I4:J4"/>
    <mergeCell ref="K4:L4"/>
    <mergeCell ref="B3:B5"/>
    <mergeCell ref="C3:C5"/>
    <mergeCell ref="D3:D5"/>
    <mergeCell ref="E3:F4"/>
    <mergeCell ref="G3:L3"/>
    <mergeCell ref="B6:B20"/>
    <mergeCell ref="C6:N6"/>
    <mergeCell ref="C13:N13"/>
    <mergeCell ref="B21:B37"/>
    <mergeCell ref="C21:N21"/>
    <mergeCell ref="C28:N28"/>
    <mergeCell ref="B38:B50"/>
    <mergeCell ref="C38:N38"/>
    <mergeCell ref="C44:N44"/>
    <mergeCell ref="C36:N36"/>
    <mergeCell ref="C51:N51"/>
    <mergeCell ref="B52:C53"/>
    <mergeCell ref="D52:N52"/>
    <mergeCell ref="D53:N53"/>
    <mergeCell ref="B54:C55"/>
    <mergeCell ref="D54:N54"/>
    <mergeCell ref="D55:N55"/>
    <mergeCell ref="B56:C57"/>
    <mergeCell ref="D56:N56"/>
    <mergeCell ref="D57:N57"/>
    <mergeCell ref="B58:C59"/>
    <mergeCell ref="D59:N59"/>
  </mergeCells>
  <pageMargins left="0.23622047244094491" right="0.23622047244094491" top="0.19685039370078741" bottom="0.19685039370078741" header="0.31496062992125984" footer="0.31496062992125984"/>
  <pageSetup paperSize="9" scale="7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9" sqref="I19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свод (2)</vt:lpstr>
      <vt:lpstr>1-2-3</vt:lpstr>
      <vt:lpstr>4-5-6</vt:lpstr>
      <vt:lpstr>7-8-9</vt:lpstr>
      <vt:lpstr>10-11-12</vt:lpstr>
      <vt:lpstr>000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2025-01-20T11:37:54Z</dcterms:modified>
</cp:coreProperties>
</file>